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 oct 7\IIER - RESOURCE MODEL\DATASETS\Datasets_ONLINE\"/>
    </mc:Choice>
  </mc:AlternateContent>
  <bookViews>
    <workbookView xWindow="0" yWindow="0" windowWidth="28800" windowHeight="11145"/>
  </bookViews>
  <sheets>
    <sheet name="Investment_Cost" sheetId="1" r:id="rId1"/>
    <sheet name="Operational_Cost" sheetId="5" r:id="rId2"/>
    <sheet name="US CPI" sheetId="2" r:id="rId3"/>
    <sheet name="GHC to USD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 l="1"/>
  <c r="C40" i="5"/>
  <c r="C39" i="5"/>
  <c r="C38" i="5"/>
  <c r="C37" i="5"/>
  <c r="E36" i="5"/>
  <c r="E35" i="5"/>
  <c r="C35" i="5"/>
  <c r="E34" i="5"/>
  <c r="E33" i="5"/>
  <c r="C33" i="5"/>
  <c r="C34" i="5" s="1"/>
  <c r="E32" i="5"/>
  <c r="C32" i="5"/>
  <c r="E31" i="5"/>
  <c r="C31" i="5"/>
  <c r="E30" i="5"/>
  <c r="C30" i="5"/>
  <c r="E29" i="5"/>
  <c r="C29" i="5"/>
  <c r="C28" i="5"/>
  <c r="C25" i="5"/>
  <c r="C24" i="5"/>
  <c r="C23" i="5"/>
  <c r="C22" i="5"/>
  <c r="C21" i="5"/>
  <c r="E20" i="5"/>
  <c r="C20" i="5"/>
  <c r="C19" i="5"/>
  <c r="C18" i="5"/>
  <c r="C9" i="5"/>
  <c r="C8" i="5"/>
  <c r="C7" i="5"/>
  <c r="F124" i="1" l="1"/>
  <c r="F123" i="1"/>
  <c r="B124" i="1"/>
  <c r="B123" i="1"/>
  <c r="E42" i="1"/>
  <c r="C42" i="1"/>
  <c r="C41" i="1"/>
  <c r="E41" i="1"/>
  <c r="E40" i="1"/>
  <c r="C28" i="1"/>
  <c r="E39" i="1"/>
  <c r="C39" i="1"/>
  <c r="F125" i="1" l="1"/>
  <c r="F130" i="1" s="1"/>
  <c r="F131" i="1" s="1"/>
  <c r="B125" i="1"/>
  <c r="B130" i="1" s="1"/>
  <c r="B131" i="1" s="1"/>
  <c r="E38" i="1" l="1"/>
  <c r="E37" i="1"/>
  <c r="C37" i="1"/>
  <c r="D34" i="2" l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5" i="2"/>
  <c r="D36" i="2"/>
  <c r="E35" i="1"/>
  <c r="E36" i="1" s="1"/>
  <c r="E34" i="1"/>
  <c r="C34" i="1"/>
  <c r="E33" i="1" l="1"/>
  <c r="E32" i="1" l="1"/>
  <c r="E31" i="1"/>
  <c r="E30" i="1" l="1"/>
  <c r="E29" i="1"/>
  <c r="C29" i="1"/>
  <c r="E27" i="1" l="1"/>
  <c r="E28" i="1" s="1"/>
  <c r="E26" i="1"/>
  <c r="E25" i="1"/>
  <c r="E24" i="1"/>
  <c r="E23" i="1"/>
  <c r="E22" i="1"/>
  <c r="E21" i="1"/>
  <c r="E20" i="1"/>
  <c r="C22" i="1"/>
  <c r="C21" i="1"/>
  <c r="C20" i="1"/>
  <c r="E18" i="1" l="1"/>
  <c r="E17" i="1"/>
  <c r="E16" i="1"/>
  <c r="B108" i="1"/>
  <c r="B109" i="1"/>
  <c r="B107" i="1"/>
  <c r="B106" i="1"/>
  <c r="E15" i="1"/>
  <c r="E14" i="1"/>
  <c r="C15" i="1"/>
  <c r="C14" i="1"/>
  <c r="B105" i="1" l="1"/>
  <c r="B104" i="1"/>
  <c r="B103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<sst xmlns="http://schemas.openxmlformats.org/spreadsheetml/2006/main" count="452" uniqueCount="156">
  <si>
    <t>USD</t>
  </si>
  <si>
    <t>GHC</t>
  </si>
  <si>
    <t>Source</t>
  </si>
  <si>
    <t>Year</t>
  </si>
  <si>
    <t>m3</t>
  </si>
  <si>
    <r>
      <t xml:space="preserve">Stoll, N., 2008. </t>
    </r>
    <r>
      <rPr>
        <i/>
        <sz val="11"/>
        <color theme="1"/>
        <rFont val="Calibri"/>
        <family val="2"/>
        <scheme val="minor"/>
      </rPr>
      <t>Potential Costs and Revenues of Ecological Sanitation in Accra (Ghana)</t>
    </r>
    <r>
      <rPr>
        <sz val="11"/>
        <color theme="1"/>
        <rFont val="Calibri"/>
        <family val="2"/>
        <scheme val="minor"/>
      </rPr>
      <t>. University of Hamburg.</t>
    </r>
  </si>
  <si>
    <t>Technology system</t>
  </si>
  <si>
    <t>Currency</t>
  </si>
  <si>
    <t>Septic tank</t>
  </si>
  <si>
    <t>Capital costs</t>
  </si>
  <si>
    <t>Operational costs</t>
  </si>
  <si>
    <t>1500 - 2000</t>
  </si>
  <si>
    <t>Septic tank emptying</t>
  </si>
  <si>
    <t xml:space="preserve">60-80 </t>
  </si>
  <si>
    <t>cesspit emptier truck discharge at Lavender hill</t>
  </si>
  <si>
    <t>Technology system &amp; activity</t>
  </si>
  <si>
    <t>Cleaning of bucket latrines</t>
  </si>
  <si>
    <t>USD per month</t>
  </si>
  <si>
    <t>Waste Stabilisation Ponds - Densu Delta STP</t>
  </si>
  <si>
    <t>Waste Stabilisation Ponds - University of Legon STP</t>
  </si>
  <si>
    <t>Usage</t>
  </si>
  <si>
    <t>Capacity</t>
  </si>
  <si>
    <t>sanitation</t>
  </si>
  <si>
    <t>waste water treatment</t>
  </si>
  <si>
    <t>Unit</t>
  </si>
  <si>
    <t>m3/day</t>
  </si>
  <si>
    <t>Public toilet</t>
  </si>
  <si>
    <t>House connecting sewerage network</t>
  </si>
  <si>
    <t>sanitation network</t>
  </si>
  <si>
    <t>KVIP</t>
  </si>
  <si>
    <t>litres</t>
  </si>
  <si>
    <t>KVIP emptying</t>
  </si>
  <si>
    <t>Lifespan (years)</t>
  </si>
  <si>
    <t>ASIP project toilet ( 2 seats)</t>
  </si>
  <si>
    <t>Urinal</t>
  </si>
  <si>
    <t>Maintenance costs</t>
  </si>
  <si>
    <t>ASIP toilet (2 seats)</t>
  </si>
  <si>
    <t>ASIP project toilet ( 2 seats) use per year</t>
  </si>
  <si>
    <t>Private Urine Diverting Toilet</t>
  </si>
  <si>
    <t>Private Urinal</t>
  </si>
  <si>
    <t>Private Urine Diverting Toilet use per year</t>
  </si>
  <si>
    <t>Private Urinal use per year</t>
  </si>
  <si>
    <t>Private Urine diversifying toilets</t>
  </si>
  <si>
    <t>Private urinals</t>
  </si>
  <si>
    <r>
      <t xml:space="preserve">Boot, N.L.D. &amp; Scott, R.E., 2009. Faecal sludge in Accra, Ghana: Problems of urban provision. </t>
    </r>
    <r>
      <rPr>
        <i/>
        <sz val="11"/>
        <color theme="1"/>
        <rFont val="Calibri"/>
        <family val="2"/>
        <scheme val="minor"/>
      </rPr>
      <t>Water Science and Technology</t>
    </r>
    <r>
      <rPr>
        <sz val="11"/>
        <color theme="1"/>
        <rFont val="Calibri"/>
        <family val="2"/>
        <scheme val="minor"/>
      </rPr>
      <t>, 60(3), pp.623–631.</t>
    </r>
  </si>
  <si>
    <t>Vacuum tanker pit emptying</t>
  </si>
  <si>
    <t>Vaccum tanker septic tank emptying</t>
  </si>
  <si>
    <t>Vacuum tanker septic tank emptying</t>
  </si>
  <si>
    <t>Emptying a bucket latrine fee per month</t>
  </si>
  <si>
    <t>Disposal charge for vacuum tankers at tipping point</t>
  </si>
  <si>
    <t>faecal sludge treatment</t>
  </si>
  <si>
    <t>Faecal Sludge drying beds (excl. discharge/screen/percolate treatment)</t>
  </si>
  <si>
    <t>m3/year</t>
  </si>
  <si>
    <t>200 m3 annually FS with 20 g/litre TS content at a site of 27 m2</t>
  </si>
  <si>
    <t>Steiner, M. &amp; Strauss, M., 2002. Economic Aspects of Low-cost Faecal Sludge Management. , (October).</t>
  </si>
  <si>
    <t>Faecal Sludge drying beds annual O&amp;M</t>
  </si>
  <si>
    <t>Teshie/TEMA Waste Stabilisation ponds</t>
  </si>
  <si>
    <t>Technology</t>
  </si>
  <si>
    <t>Cesspit Truck</t>
  </si>
  <si>
    <t>Bucket latrine</t>
  </si>
  <si>
    <t>ASIP toilet</t>
  </si>
  <si>
    <t>Urine Diverting toilet</t>
  </si>
  <si>
    <t>Sludge Drying Bed</t>
  </si>
  <si>
    <t>WSP</t>
  </si>
  <si>
    <t xml:space="preserve">Teshie/TEMA Waste Stabilisation ponds annual O&amp;M </t>
  </si>
  <si>
    <t xml:space="preserve">Buobai Kumasi Waste Stabilisation ponds annual O&amp;M </t>
  </si>
  <si>
    <t xml:space="preserve">Buobai Kumasi Waste Stabilisation ponds </t>
  </si>
  <si>
    <t>Borehole with handpump</t>
  </si>
  <si>
    <t>Borehole with standpipes/network</t>
  </si>
  <si>
    <t>Source water treatment</t>
  </si>
  <si>
    <r>
      <t xml:space="preserve">Nyarko, K.B., 2010. Cost of delivering water services in rural areas and small towns in Ghana. In </t>
    </r>
    <r>
      <rPr>
        <i/>
        <sz val="11"/>
        <color theme="1"/>
        <rFont val="Calibri"/>
        <family val="2"/>
        <scheme val="minor"/>
      </rPr>
      <t>IRC Symposium 2010: Pumps, Pipes and Promises</t>
    </r>
    <r>
      <rPr>
        <sz val="11"/>
        <color theme="1"/>
        <rFont val="Calibri"/>
        <family val="2"/>
        <scheme val="minor"/>
      </rPr>
      <t>. IRC.</t>
    </r>
  </si>
  <si>
    <t>Borehole</t>
  </si>
  <si>
    <t>Borehole with handpump annual operation</t>
  </si>
  <si>
    <t>Borehole with standpipes/network annual operation</t>
  </si>
  <si>
    <t>Borehole with standpipes/network annual maintenance</t>
  </si>
  <si>
    <t>Borehole with handpump annual maintenance</t>
  </si>
  <si>
    <t>Conventional water treatment Accra-Tema</t>
  </si>
  <si>
    <t>Conventional Water Treatment - Kumasi</t>
  </si>
  <si>
    <t>CWT</t>
  </si>
  <si>
    <r>
      <t xml:space="preserve">Dwumfour-asare, B., Nyarko, K.B. &amp; Quaye, S.A., 2014. The cost of urban water service delivery in Ghana : the case of the Kumasi and Accra-Tema water systems. </t>
    </r>
    <r>
      <rPr>
        <i/>
        <sz val="11"/>
        <color theme="1"/>
        <rFont val="Calibri"/>
        <family val="2"/>
        <scheme val="minor"/>
      </rPr>
      <t>Ghanaian Journal of Economics</t>
    </r>
    <r>
      <rPr>
        <sz val="11"/>
        <color theme="1"/>
        <rFont val="Calibri"/>
        <family val="2"/>
        <scheme val="minor"/>
      </rPr>
      <t>, 2(December), pp.119–134.</t>
    </r>
  </si>
  <si>
    <r>
      <t xml:space="preserve">The World Bank, 2013. </t>
    </r>
    <r>
      <rPr>
        <i/>
        <sz val="11"/>
        <color theme="1"/>
        <rFont val="Calibri"/>
        <family val="2"/>
        <scheme val="minor"/>
      </rPr>
      <t>Project Appraisal Document for the Greater Accra Metropolitan Area Sanitation and Water Project</t>
    </r>
    <r>
      <rPr>
        <sz val="11"/>
        <color theme="1"/>
        <rFont val="Calibri"/>
        <family val="2"/>
        <scheme val="minor"/>
      </rPr>
      <t>,</t>
    </r>
  </si>
  <si>
    <t>Standpipe connection with pipe per connection</t>
  </si>
  <si>
    <t>private connection with pipe</t>
  </si>
  <si>
    <t>Potable water distribution</t>
  </si>
  <si>
    <t>connection</t>
  </si>
  <si>
    <t>Bottled water</t>
  </si>
  <si>
    <t>Tanker water</t>
  </si>
  <si>
    <t>GHc</t>
  </si>
  <si>
    <t>bottles</t>
  </si>
  <si>
    <r>
      <t xml:space="preserve">Uusitalo, K., 2002. </t>
    </r>
    <r>
      <rPr>
        <i/>
        <sz val="11"/>
        <color theme="1"/>
        <rFont val="Calibri"/>
        <family val="2"/>
        <scheme val="minor"/>
      </rPr>
      <t>An Evaluation of Urban Water Systems using Environmental Sustainability Indicators: A case study in Adenta, Ghana</t>
    </r>
    <r>
      <rPr>
        <sz val="11"/>
        <color theme="1"/>
        <rFont val="Calibri"/>
        <family val="2"/>
        <scheme val="minor"/>
      </rPr>
      <t>. Chalmers University of Technology.</t>
    </r>
  </si>
  <si>
    <r>
      <t xml:space="preserve">Antwi-Agyei, P., 2009. </t>
    </r>
    <r>
      <rPr>
        <i/>
        <sz val="11"/>
        <color theme="1"/>
        <rFont val="Calibri"/>
        <family val="2"/>
        <scheme val="minor"/>
      </rPr>
      <t>018530 - SWITCH Sustainable Water Management in the City of the Future: Faecal Sludge managemen the case of Madina</t>
    </r>
    <r>
      <rPr>
        <sz val="11"/>
        <color theme="1"/>
        <rFont val="Calibri"/>
        <family val="2"/>
        <scheme val="minor"/>
      </rPr>
      <t>,</t>
    </r>
  </si>
  <si>
    <t>Single desludging of pit latrines</t>
  </si>
  <si>
    <t>urinal use</t>
  </si>
  <si>
    <t>urinal use with toilet paper</t>
  </si>
  <si>
    <t>Gp</t>
  </si>
  <si>
    <t>Operational costs of 34 water closet public toilet</t>
  </si>
  <si>
    <r>
      <t xml:space="preserve">Nikiema, J., Cofie, O. &amp; Impraim, R., 2014. </t>
    </r>
    <r>
      <rPr>
        <i/>
        <sz val="11"/>
        <color theme="1"/>
        <rFont val="Calibri"/>
        <family val="2"/>
        <scheme val="minor"/>
      </rPr>
      <t>Resource Recovery and Reuse Series 2: Technological Options for Safe Resource Recovery from Fecal Sludge</t>
    </r>
    <r>
      <rPr>
        <sz val="11"/>
        <color theme="1"/>
        <rFont val="Calibri"/>
        <family val="2"/>
        <scheme val="minor"/>
      </rPr>
      <t>,</t>
    </r>
  </si>
  <si>
    <t>Polymer separation and drying excl. liquid treatment</t>
  </si>
  <si>
    <t>Polymer separation and drying incl. liquid treatment</t>
  </si>
  <si>
    <t>separation and drying</t>
  </si>
  <si>
    <t>Household pit latrine</t>
  </si>
  <si>
    <t>Public 20 seater toilet + septic tank</t>
  </si>
  <si>
    <t>School 12 seater toilet + septic tank</t>
  </si>
  <si>
    <r>
      <t xml:space="preserve">Makthar, D. et al., 2013. </t>
    </r>
    <r>
      <rPr>
        <i/>
        <sz val="11"/>
        <color theme="1"/>
        <rFont val="Calibri"/>
        <family val="2"/>
        <scheme val="minor"/>
      </rPr>
      <t>The World Bank: Implementation completion and results report for the Second Urban Environmental Sanitation project</t>
    </r>
    <r>
      <rPr>
        <sz val="11"/>
        <color theme="1"/>
        <rFont val="Calibri"/>
        <family val="2"/>
        <scheme val="minor"/>
      </rPr>
      <t>,</t>
    </r>
  </si>
  <si>
    <t>Anaerobic digesters</t>
  </si>
  <si>
    <r>
      <t xml:space="preserve">Nordic Development Fund, 2011. </t>
    </r>
    <r>
      <rPr>
        <i/>
        <sz val="11"/>
        <color theme="1"/>
        <rFont val="Calibri"/>
        <family val="2"/>
        <scheme val="minor"/>
      </rPr>
      <t>Ghana Greater Accra Anaerobic Digesters Project: Appraisal Report</t>
    </r>
    <r>
      <rPr>
        <sz val="11"/>
        <color theme="1"/>
        <rFont val="Calibri"/>
        <family val="2"/>
        <scheme val="minor"/>
      </rPr>
      <t>,</t>
    </r>
  </si>
  <si>
    <t>AD</t>
  </si>
  <si>
    <t>euro</t>
  </si>
  <si>
    <t>Water Distribution Energy Costs</t>
  </si>
  <si>
    <t>Pipe distribution</t>
  </si>
  <si>
    <t>TERI, 2009. Presentation from the 2009 World Water Week in Stockholm: Energy Audit Findings at Water Utilities. , p.25.</t>
  </si>
  <si>
    <t>Conventional Source Water Treatment</t>
  </si>
  <si>
    <r>
      <t xml:space="preserve">Sahl, M. &amp; Westerblom, J., 2008. </t>
    </r>
    <r>
      <rPr>
        <i/>
        <sz val="11"/>
        <color theme="1"/>
        <rFont val="Calibri"/>
        <family val="2"/>
        <scheme val="minor"/>
      </rPr>
      <t>A proposal for improving the water supply in South Teshie, Ghana: Applying Sea Water Reverse Osmosis</t>
    </r>
    <r>
      <rPr>
        <sz val="11"/>
        <color theme="1"/>
        <rFont val="Calibri"/>
        <family val="2"/>
        <scheme val="minor"/>
      </rPr>
      <t>. Royal Institute of Technology, Stockholm Sweden.</t>
    </r>
  </si>
  <si>
    <t>Desalination plant</t>
  </si>
  <si>
    <t>Desalination plant operation</t>
  </si>
  <si>
    <t>desalination</t>
  </si>
  <si>
    <t>vacuum tanker</t>
  </si>
  <si>
    <t>Sharpe, N. S., 2010. Develoment of a Novel Plan for Emptying Pit Latrines in urban Slums. MSc. Thesis University of Cambridge</t>
  </si>
  <si>
    <t>polymer separation and drying</t>
  </si>
  <si>
    <t>DANIDA, Danish Ministry of Foreign Affairs. 2015. The Sludge Treatment Project at Lavender Hill, Accra,Ghana</t>
  </si>
  <si>
    <t>Cambrige Economic Policy Associates. 2015. Mobilising finance for infrastructure: Ghana Country Case Study.</t>
  </si>
  <si>
    <t>China Gezhouba Grop. 2015. Kpong Water Supply Expansion Project in Ghana praised by the employer. http://www.cggc.cc/2015-08/07/content_21531910.htm</t>
  </si>
  <si>
    <t>Conventional Source Water Treatment Kpong</t>
  </si>
  <si>
    <t>Conventional Source Water Treatment Asutuare</t>
  </si>
  <si>
    <t>Ghana Water Company Limited. 2015. Planned Projects. http://www.gwcl.com.gh/pgs/plannedprojects.php</t>
  </si>
  <si>
    <t>1982-1984 = 100</t>
  </si>
  <si>
    <t>2014 = 100</t>
  </si>
  <si>
    <t>Jamestown Conventional UASB Waste Water Treatment</t>
  </si>
  <si>
    <t>https://uenergy.wordpress.com/2010/11/23/jamestown-waste-water-treatment-plant-accra/</t>
  </si>
  <si>
    <t>http://www.waterbiotech.eu/downloads/Public_Downloads/d3_9_cost_readjustment_report.pdf</t>
  </si>
  <si>
    <t>Aerated lagoon</t>
  </si>
  <si>
    <t>Aerated Lagoon</t>
  </si>
  <si>
    <t>electricity</t>
  </si>
  <si>
    <t>Bottled water plant</t>
  </si>
  <si>
    <t>water bottling</t>
  </si>
  <si>
    <t>http://www.ethioembassy.org.uk/trade_and_investment/Selected%20Investment%20Project%20Profiles/Services/Mineral%20Water/Mineral%20Water.pdf</t>
  </si>
  <si>
    <t>http://drum.lib.umd.edu/bitstream/handle/1903/12376/Klavon_umd_0117N_12835.pdf;jsessionid=9EB35543009F624D2D267E0E91591E96?sequence=1</t>
  </si>
  <si>
    <t>Aerobic waste-water treatment - BioKube Jupiter</t>
  </si>
  <si>
    <t>http://www.concretetanks.co.nz/files/pdfs/on-site-wastewater-systems.pdf</t>
  </si>
  <si>
    <t>Aerated septic system</t>
  </si>
  <si>
    <t>Aerated sewage treatment system</t>
  </si>
  <si>
    <t>http://www.moef.nic.in/sites/default/files/ngrba/Barrackporememo.pdf</t>
  </si>
  <si>
    <t>http://www.ukseptictanks.co.uk/sewage-treatment-plants/graf-klaro-50</t>
  </si>
  <si>
    <t>Aerated aerobic treatment system</t>
  </si>
  <si>
    <t>aerobic system costs</t>
  </si>
  <si>
    <t>MJ/m3</t>
  </si>
  <si>
    <t>hours / m3</t>
  </si>
  <si>
    <t>GHc / hour</t>
  </si>
  <si>
    <t>GHc / m3</t>
  </si>
  <si>
    <t>USD / m3</t>
  </si>
  <si>
    <t>kWH/m3</t>
  </si>
  <si>
    <t>GHc/kWh</t>
  </si>
  <si>
    <t>UASB system costs</t>
  </si>
  <si>
    <t>https://www.cia.gov/library/publications/the-world-factbook/fields/2076.html</t>
  </si>
  <si>
    <t>GHC per US DOLLAR</t>
  </si>
  <si>
    <t>https://www.focus-economics.com/country-indicator/ghana/exchange-rate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</si>
</sst>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0" fillId="0" borderId="7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11" workbookViewId="0">
      <selection activeCell="A32" sqref="A32"/>
    </sheetView>
  </sheetViews>
  <sheetFormatPr defaultRowHeight="15" x14ac:dyDescent="0.25"/>
  <cols>
    <col min="1" max="1" width="56.875" customWidth="1"/>
    <col min="2" max="2" width="31.625" style="2" customWidth="1"/>
    <col min="3" max="3" width="16.75" style="2" customWidth="1"/>
    <col min="4" max="5" width="18.25" style="2" customWidth="1"/>
    <col min="6" max="6" width="20.125" customWidth="1"/>
    <col min="7" max="7" width="15.375" customWidth="1"/>
    <col min="8" max="8" width="15.875" style="25" customWidth="1"/>
    <col min="9" max="9" width="170.625" style="9" bestFit="1" customWidth="1"/>
    <col min="10" max="10" width="35.125" customWidth="1"/>
  </cols>
  <sheetData>
    <row r="1" spans="1:10" x14ac:dyDescent="0.25">
      <c r="A1" s="1" t="s">
        <v>6</v>
      </c>
      <c r="B1" s="5" t="s">
        <v>20</v>
      </c>
      <c r="C1" s="5" t="s">
        <v>21</v>
      </c>
      <c r="D1" s="5" t="s">
        <v>24</v>
      </c>
      <c r="E1" s="5" t="s">
        <v>9</v>
      </c>
      <c r="F1" s="5" t="s">
        <v>7</v>
      </c>
      <c r="G1" s="5" t="s">
        <v>32</v>
      </c>
      <c r="H1" s="26" t="s">
        <v>3</v>
      </c>
      <c r="I1" s="14" t="s">
        <v>2</v>
      </c>
    </row>
    <row r="2" spans="1:10" x14ac:dyDescent="0.25">
      <c r="A2" t="s">
        <v>8</v>
      </c>
      <c r="B2" s="2" t="s">
        <v>22</v>
      </c>
      <c r="E2" s="2" t="s">
        <v>11</v>
      </c>
      <c r="F2" s="2" t="s">
        <v>0</v>
      </c>
      <c r="G2">
        <v>25</v>
      </c>
      <c r="H2" s="25">
        <v>2007</v>
      </c>
      <c r="I2" s="11" t="s">
        <v>5</v>
      </c>
    </row>
    <row r="3" spans="1:10" x14ac:dyDescent="0.25">
      <c r="A3" t="s">
        <v>18</v>
      </c>
      <c r="B3" s="2" t="s">
        <v>23</v>
      </c>
      <c r="C3" s="2">
        <v>6000</v>
      </c>
      <c r="D3" s="2" t="s">
        <v>25</v>
      </c>
      <c r="E3" s="2">
        <f>18*10^6</f>
        <v>18000000</v>
      </c>
      <c r="F3" s="2" t="s">
        <v>0</v>
      </c>
      <c r="H3" s="25">
        <v>2007</v>
      </c>
      <c r="I3" s="11" t="s">
        <v>5</v>
      </c>
    </row>
    <row r="4" spans="1:10" x14ac:dyDescent="0.25">
      <c r="A4" t="s">
        <v>19</v>
      </c>
      <c r="B4" s="2" t="s">
        <v>23</v>
      </c>
      <c r="C4" s="2">
        <v>6400</v>
      </c>
      <c r="D4" s="2" t="s">
        <v>25</v>
      </c>
      <c r="E4" s="2">
        <f>6.7*10^6</f>
        <v>6700000</v>
      </c>
      <c r="F4" s="2" t="s">
        <v>0</v>
      </c>
      <c r="H4" s="25">
        <v>2007</v>
      </c>
      <c r="I4" s="11" t="s">
        <v>5</v>
      </c>
    </row>
    <row r="5" spans="1:10" x14ac:dyDescent="0.25">
      <c r="A5" t="s">
        <v>26</v>
      </c>
      <c r="B5" s="2" t="s">
        <v>22</v>
      </c>
      <c r="E5" s="8">
        <f>(9.92*10^6)/147</f>
        <v>67482.993197278905</v>
      </c>
      <c r="F5" s="2" t="s">
        <v>0</v>
      </c>
      <c r="H5" s="25">
        <v>2007</v>
      </c>
      <c r="I5" s="11" t="s">
        <v>5</v>
      </c>
    </row>
    <row r="6" spans="1:10" x14ac:dyDescent="0.25">
      <c r="A6" t="s">
        <v>27</v>
      </c>
      <c r="B6" s="2" t="s">
        <v>28</v>
      </c>
      <c r="E6" s="8">
        <f>(3.53*10^6)/4184</f>
        <v>843.69024856596559</v>
      </c>
      <c r="F6" s="2" t="s">
        <v>0</v>
      </c>
      <c r="G6">
        <v>40</v>
      </c>
      <c r="H6" s="25">
        <v>2007</v>
      </c>
      <c r="I6" s="11" t="s">
        <v>5</v>
      </c>
    </row>
    <row r="7" spans="1:10" x14ac:dyDescent="0.25">
      <c r="A7" t="s">
        <v>29</v>
      </c>
      <c r="B7" s="2" t="s">
        <v>22</v>
      </c>
      <c r="E7" s="2">
        <v>160</v>
      </c>
      <c r="F7" s="2" t="s">
        <v>0</v>
      </c>
      <c r="G7">
        <v>10</v>
      </c>
      <c r="H7" s="25">
        <v>2007</v>
      </c>
      <c r="I7" s="11" t="s">
        <v>5</v>
      </c>
    </row>
    <row r="8" spans="1:10" x14ac:dyDescent="0.25">
      <c r="A8" s="9" t="s">
        <v>33</v>
      </c>
      <c r="B8" s="2" t="s">
        <v>22</v>
      </c>
      <c r="E8" s="2">
        <f>6748</f>
        <v>6748</v>
      </c>
      <c r="F8" s="2" t="s">
        <v>0</v>
      </c>
      <c r="G8">
        <v>30</v>
      </c>
      <c r="H8" s="25">
        <v>2007</v>
      </c>
      <c r="I8" s="11" t="s">
        <v>5</v>
      </c>
    </row>
    <row r="9" spans="1:10" x14ac:dyDescent="0.25">
      <c r="A9" s="9" t="s">
        <v>38</v>
      </c>
      <c r="B9" s="2" t="s">
        <v>22</v>
      </c>
      <c r="E9" s="2">
        <f>1500/2</f>
        <v>750</v>
      </c>
      <c r="F9" s="2" t="s">
        <v>0</v>
      </c>
      <c r="G9">
        <v>10</v>
      </c>
      <c r="H9" s="25">
        <v>2007</v>
      </c>
      <c r="I9" s="11" t="s">
        <v>5</v>
      </c>
    </row>
    <row r="10" spans="1:10" x14ac:dyDescent="0.25">
      <c r="A10" s="9" t="s">
        <v>39</v>
      </c>
      <c r="B10" s="2" t="s">
        <v>22</v>
      </c>
      <c r="E10" s="2">
        <f>1050/2</f>
        <v>525</v>
      </c>
      <c r="F10" s="2" t="s">
        <v>0</v>
      </c>
      <c r="G10">
        <v>10</v>
      </c>
      <c r="H10" s="25">
        <v>2007</v>
      </c>
      <c r="I10" s="11" t="s">
        <v>5</v>
      </c>
    </row>
    <row r="11" spans="1:10" x14ac:dyDescent="0.25">
      <c r="A11" s="9" t="s">
        <v>51</v>
      </c>
      <c r="B11" s="2" t="s">
        <v>50</v>
      </c>
      <c r="C11" s="2">
        <v>200</v>
      </c>
      <c r="D11" s="2" t="s">
        <v>52</v>
      </c>
      <c r="E11" s="2">
        <v>2400</v>
      </c>
      <c r="F11" s="2" t="s">
        <v>0</v>
      </c>
      <c r="H11" s="25">
        <v>2002</v>
      </c>
      <c r="I11" s="11" t="s">
        <v>54</v>
      </c>
      <c r="J11" t="s">
        <v>53</v>
      </c>
    </row>
    <row r="12" spans="1:10" x14ac:dyDescent="0.25">
      <c r="A12" s="9" t="s">
        <v>56</v>
      </c>
      <c r="B12" s="2" t="s">
        <v>23</v>
      </c>
      <c r="C12" s="2">
        <v>30000</v>
      </c>
      <c r="D12" s="2" t="s">
        <v>52</v>
      </c>
      <c r="E12" s="2">
        <v>75000</v>
      </c>
      <c r="F12" s="2" t="s">
        <v>0</v>
      </c>
      <c r="H12" s="25">
        <v>1996</v>
      </c>
      <c r="I12" s="11" t="s">
        <v>54</v>
      </c>
    </row>
    <row r="13" spans="1:10" x14ac:dyDescent="0.25">
      <c r="A13" s="9" t="s">
        <v>66</v>
      </c>
      <c r="B13" s="2" t="s">
        <v>23</v>
      </c>
      <c r="C13" s="2">
        <v>60000</v>
      </c>
      <c r="D13" s="2" t="s">
        <v>52</v>
      </c>
      <c r="E13" s="2">
        <v>420000</v>
      </c>
      <c r="F13" s="2" t="s">
        <v>0</v>
      </c>
      <c r="H13" s="25">
        <v>2002</v>
      </c>
      <c r="I13" s="11" t="s">
        <v>54</v>
      </c>
    </row>
    <row r="14" spans="1:10" x14ac:dyDescent="0.25">
      <c r="A14" s="9" t="s">
        <v>67</v>
      </c>
      <c r="B14" s="2" t="s">
        <v>69</v>
      </c>
      <c r="C14" s="2">
        <f>(20*300*365)/1000</f>
        <v>2190</v>
      </c>
      <c r="D14" s="2" t="s">
        <v>52</v>
      </c>
      <c r="E14" s="2">
        <f>13129</f>
        <v>13129</v>
      </c>
      <c r="F14" s="2" t="s">
        <v>0</v>
      </c>
      <c r="G14">
        <v>25</v>
      </c>
      <c r="H14" s="25">
        <v>2008</v>
      </c>
      <c r="I14" s="11" t="s">
        <v>70</v>
      </c>
    </row>
    <row r="15" spans="1:10" x14ac:dyDescent="0.25">
      <c r="A15" s="9" t="s">
        <v>68</v>
      </c>
      <c r="B15" s="2" t="s">
        <v>69</v>
      </c>
      <c r="C15" s="2">
        <f>(20*300*365)/1000</f>
        <v>2190</v>
      </c>
      <c r="D15" s="2" t="s">
        <v>52</v>
      </c>
      <c r="E15" s="2">
        <f>441390</f>
        <v>441390</v>
      </c>
      <c r="F15" s="2" t="s">
        <v>0</v>
      </c>
      <c r="G15">
        <v>25</v>
      </c>
      <c r="H15" s="25">
        <v>2008</v>
      </c>
      <c r="I15" s="11" t="s">
        <v>70</v>
      </c>
    </row>
    <row r="16" spans="1:10" x14ac:dyDescent="0.25">
      <c r="A16" s="9" t="s">
        <v>81</v>
      </c>
      <c r="B16" s="2" t="s">
        <v>83</v>
      </c>
      <c r="C16" s="2">
        <v>1</v>
      </c>
      <c r="D16" s="2" t="s">
        <v>84</v>
      </c>
      <c r="E16" s="2">
        <f>16075000/(175000+75000)</f>
        <v>64.3</v>
      </c>
      <c r="F16" s="2" t="s">
        <v>0</v>
      </c>
      <c r="H16" s="25">
        <v>2013</v>
      </c>
      <c r="I16" s="11" t="s">
        <v>80</v>
      </c>
    </row>
    <row r="17" spans="1:9" x14ac:dyDescent="0.25">
      <c r="A17" s="9" t="s">
        <v>82</v>
      </c>
      <c r="B17" s="2" t="s">
        <v>83</v>
      </c>
      <c r="C17" s="2">
        <v>1</v>
      </c>
      <c r="D17" s="2" t="s">
        <v>84</v>
      </c>
      <c r="E17" s="2">
        <f>32150000/500000</f>
        <v>64.3</v>
      </c>
      <c r="F17" s="2" t="s">
        <v>0</v>
      </c>
      <c r="H17" s="25">
        <v>2013</v>
      </c>
      <c r="I17" s="11" t="s">
        <v>80</v>
      </c>
    </row>
    <row r="18" spans="1:9" x14ac:dyDescent="0.25">
      <c r="A18" s="9" t="s">
        <v>86</v>
      </c>
      <c r="B18" s="2" t="s">
        <v>83</v>
      </c>
      <c r="C18" s="2">
        <v>34</v>
      </c>
      <c r="D18" s="2" t="s">
        <v>30</v>
      </c>
      <c r="E18" s="2">
        <f>(200+500)/2</f>
        <v>350</v>
      </c>
      <c r="F18" s="2" t="s">
        <v>87</v>
      </c>
      <c r="H18" s="25">
        <v>2002</v>
      </c>
      <c r="I18" s="11" t="s">
        <v>89</v>
      </c>
    </row>
    <row r="19" spans="1:9" x14ac:dyDescent="0.25">
      <c r="A19" s="9" t="s">
        <v>85</v>
      </c>
      <c r="B19" s="2" t="s">
        <v>83</v>
      </c>
      <c r="C19" s="2">
        <v>30</v>
      </c>
      <c r="D19" s="2" t="s">
        <v>88</v>
      </c>
      <c r="E19" s="2">
        <v>4000</v>
      </c>
      <c r="F19" s="2" t="s">
        <v>87</v>
      </c>
      <c r="H19" s="25">
        <v>2002</v>
      </c>
      <c r="I19" s="11" t="s">
        <v>89</v>
      </c>
    </row>
    <row r="20" spans="1:9" x14ac:dyDescent="0.25">
      <c r="A20" s="9" t="s">
        <v>97</v>
      </c>
      <c r="B20" s="2" t="s">
        <v>50</v>
      </c>
      <c r="C20" s="2">
        <f>93900</f>
        <v>93900</v>
      </c>
      <c r="D20" s="2" t="s">
        <v>52</v>
      </c>
      <c r="E20" s="2">
        <f>650000</f>
        <v>650000</v>
      </c>
      <c r="F20" s="2" t="s">
        <v>0</v>
      </c>
      <c r="G20">
        <v>10</v>
      </c>
      <c r="H20" s="25">
        <v>2013</v>
      </c>
      <c r="I20" s="11" t="s">
        <v>96</v>
      </c>
    </row>
    <row r="21" spans="1:9" x14ac:dyDescent="0.25">
      <c r="A21" s="9" t="s">
        <v>97</v>
      </c>
      <c r="B21" s="2" t="s">
        <v>50</v>
      </c>
      <c r="C21" s="2">
        <f>187800</f>
        <v>187800</v>
      </c>
      <c r="D21" s="2" t="s">
        <v>52</v>
      </c>
      <c r="E21" s="2">
        <f>1*10^6</f>
        <v>1000000</v>
      </c>
      <c r="F21" s="2" t="s">
        <v>0</v>
      </c>
      <c r="G21">
        <v>10</v>
      </c>
      <c r="H21" s="25">
        <v>2013</v>
      </c>
      <c r="I21" s="11" t="s">
        <v>96</v>
      </c>
    </row>
    <row r="22" spans="1:9" x14ac:dyDescent="0.25">
      <c r="A22" s="9" t="s">
        <v>97</v>
      </c>
      <c r="B22" s="2" t="s">
        <v>50</v>
      </c>
      <c r="C22" s="2">
        <f>438000</f>
        <v>438000</v>
      </c>
      <c r="D22" s="2" t="s">
        <v>52</v>
      </c>
      <c r="E22" s="2">
        <f>3.99*10^6</f>
        <v>3990000</v>
      </c>
      <c r="F22" s="2" t="s">
        <v>0</v>
      </c>
      <c r="G22">
        <v>10</v>
      </c>
      <c r="H22" s="25">
        <v>2013</v>
      </c>
      <c r="I22" s="11" t="s">
        <v>96</v>
      </c>
    </row>
    <row r="23" spans="1:9" x14ac:dyDescent="0.25">
      <c r="A23" s="9" t="s">
        <v>98</v>
      </c>
      <c r="B23" s="2" t="s">
        <v>50</v>
      </c>
      <c r="C23" s="2">
        <v>438000</v>
      </c>
      <c r="D23" s="2" t="s">
        <v>52</v>
      </c>
      <c r="E23" s="2">
        <f>4.34*10^6</f>
        <v>4340000</v>
      </c>
      <c r="F23" s="2" t="s">
        <v>0</v>
      </c>
      <c r="G23">
        <v>10</v>
      </c>
      <c r="H23" s="25">
        <v>2013</v>
      </c>
      <c r="I23" s="11" t="s">
        <v>96</v>
      </c>
    </row>
    <row r="24" spans="1:9" x14ac:dyDescent="0.25">
      <c r="A24" s="9" t="s">
        <v>100</v>
      </c>
      <c r="B24" s="2" t="s">
        <v>22</v>
      </c>
      <c r="E24" s="2">
        <f>488</f>
        <v>488</v>
      </c>
      <c r="F24" s="2" t="s">
        <v>0</v>
      </c>
      <c r="H24" s="25">
        <v>2004</v>
      </c>
      <c r="I24" s="11" t="s">
        <v>103</v>
      </c>
    </row>
    <row r="25" spans="1:9" x14ac:dyDescent="0.25">
      <c r="A25" s="9" t="s">
        <v>101</v>
      </c>
      <c r="B25" s="2" t="s">
        <v>22</v>
      </c>
      <c r="E25" s="2">
        <f>23832</f>
        <v>23832</v>
      </c>
      <c r="F25" s="2" t="s">
        <v>0</v>
      </c>
      <c r="H25" s="25">
        <v>2004</v>
      </c>
      <c r="I25" s="11" t="s">
        <v>103</v>
      </c>
    </row>
    <row r="26" spans="1:9" x14ac:dyDescent="0.25">
      <c r="A26" s="9" t="s">
        <v>102</v>
      </c>
      <c r="B26" s="2" t="s">
        <v>22</v>
      </c>
      <c r="E26" s="2">
        <f>10540</f>
        <v>10540</v>
      </c>
      <c r="F26" s="2" t="s">
        <v>0</v>
      </c>
      <c r="H26" s="25">
        <v>2004</v>
      </c>
      <c r="I26" s="11" t="s">
        <v>103</v>
      </c>
    </row>
    <row r="27" spans="1:9" x14ac:dyDescent="0.25">
      <c r="A27" s="9" t="s">
        <v>104</v>
      </c>
      <c r="B27" s="2" t="s">
        <v>50</v>
      </c>
      <c r="C27" s="2">
        <v>840</v>
      </c>
      <c r="D27" s="2" t="s">
        <v>25</v>
      </c>
      <c r="E27" s="2">
        <f>8.9*10^6</f>
        <v>8900000</v>
      </c>
      <c r="F27" s="2" t="s">
        <v>107</v>
      </c>
      <c r="H27" s="25">
        <v>2011</v>
      </c>
      <c r="I27" s="11" t="s">
        <v>105</v>
      </c>
    </row>
    <row r="28" spans="1:9" x14ac:dyDescent="0.25">
      <c r="A28" s="9" t="s">
        <v>104</v>
      </c>
      <c r="B28" s="2" t="s">
        <v>50</v>
      </c>
      <c r="C28" s="2">
        <f>C27*365</f>
        <v>306600</v>
      </c>
      <c r="D28" s="2" t="s">
        <v>52</v>
      </c>
      <c r="E28" s="2">
        <f>E27*1.39</f>
        <v>12371000</v>
      </c>
      <c r="F28" s="2" t="s">
        <v>0</v>
      </c>
      <c r="H28" s="25">
        <v>2011</v>
      </c>
      <c r="I28" s="11" t="s">
        <v>105</v>
      </c>
    </row>
    <row r="29" spans="1:9" x14ac:dyDescent="0.25">
      <c r="A29" s="9" t="s">
        <v>111</v>
      </c>
      <c r="B29" s="2" t="s">
        <v>69</v>
      </c>
      <c r="C29" s="2">
        <f>186000</f>
        <v>186000</v>
      </c>
      <c r="D29" s="2" t="s">
        <v>25</v>
      </c>
      <c r="E29" s="2">
        <f>200*10^6</f>
        <v>200000000</v>
      </c>
      <c r="F29" s="2" t="s">
        <v>0</v>
      </c>
      <c r="H29" s="25">
        <v>2008</v>
      </c>
      <c r="I29" s="11" t="s">
        <v>112</v>
      </c>
    </row>
    <row r="30" spans="1:9" x14ac:dyDescent="0.25">
      <c r="A30" s="9" t="s">
        <v>113</v>
      </c>
      <c r="B30" s="2" t="s">
        <v>69</v>
      </c>
      <c r="C30" s="2">
        <v>900</v>
      </c>
      <c r="D30" s="2" t="s">
        <v>25</v>
      </c>
      <c r="E30" s="2">
        <f>1392857</f>
        <v>1392857</v>
      </c>
      <c r="F30" s="2" t="s">
        <v>0</v>
      </c>
      <c r="H30" s="25">
        <v>2008</v>
      </c>
      <c r="I30" s="11" t="s">
        <v>112</v>
      </c>
    </row>
    <row r="31" spans="1:9" x14ac:dyDescent="0.25">
      <c r="A31" s="9" t="s">
        <v>116</v>
      </c>
      <c r="B31" s="2" t="s">
        <v>23</v>
      </c>
      <c r="C31" s="2">
        <v>10</v>
      </c>
      <c r="D31" s="2" t="s">
        <v>4</v>
      </c>
      <c r="E31" s="2">
        <f>80000</f>
        <v>80000</v>
      </c>
      <c r="F31" s="2" t="s">
        <v>0</v>
      </c>
      <c r="H31" s="25">
        <v>2001</v>
      </c>
      <c r="I31" s="11" t="s">
        <v>117</v>
      </c>
    </row>
    <row r="32" spans="1:9" x14ac:dyDescent="0.25">
      <c r="A32" s="9" t="s">
        <v>118</v>
      </c>
      <c r="B32" s="2" t="s">
        <v>99</v>
      </c>
      <c r="C32" s="2">
        <v>224640</v>
      </c>
      <c r="D32" s="2" t="s">
        <v>52</v>
      </c>
      <c r="E32" s="2">
        <f>2.8*10^6</f>
        <v>2800000</v>
      </c>
      <c r="F32" s="2" t="s">
        <v>0</v>
      </c>
      <c r="G32">
        <v>15</v>
      </c>
      <c r="H32" s="25">
        <v>2015</v>
      </c>
      <c r="I32" s="11" t="s">
        <v>119</v>
      </c>
    </row>
    <row r="33" spans="1:9" x14ac:dyDescent="0.25">
      <c r="A33" s="9" t="s">
        <v>113</v>
      </c>
      <c r="B33" s="2" t="s">
        <v>69</v>
      </c>
      <c r="C33" s="2">
        <v>60000</v>
      </c>
      <c r="D33" s="2" t="s">
        <v>25</v>
      </c>
      <c r="E33" s="2">
        <f>126*10^6</f>
        <v>126000000</v>
      </c>
      <c r="F33" s="2" t="s">
        <v>0</v>
      </c>
      <c r="H33" s="25">
        <v>2012</v>
      </c>
      <c r="I33" s="11" t="s">
        <v>120</v>
      </c>
    </row>
    <row r="34" spans="1:9" x14ac:dyDescent="0.25">
      <c r="A34" s="9" t="s">
        <v>122</v>
      </c>
      <c r="B34" s="2" t="s">
        <v>69</v>
      </c>
      <c r="C34" s="2">
        <f>186000</f>
        <v>186000</v>
      </c>
      <c r="D34" s="2" t="s">
        <v>25</v>
      </c>
      <c r="E34" s="2">
        <f>273*10^6</f>
        <v>273000000</v>
      </c>
      <c r="F34" s="2" t="s">
        <v>0</v>
      </c>
      <c r="H34" s="25">
        <v>2014</v>
      </c>
      <c r="I34" s="11" t="s">
        <v>121</v>
      </c>
    </row>
    <row r="35" spans="1:9" x14ac:dyDescent="0.25">
      <c r="A35" s="9" t="s">
        <v>123</v>
      </c>
      <c r="C35" s="2">
        <v>200000</v>
      </c>
      <c r="D35" s="2" t="s">
        <v>25</v>
      </c>
      <c r="E35" s="2">
        <f>340*10^6</f>
        <v>340000000</v>
      </c>
      <c r="F35" s="2" t="s">
        <v>107</v>
      </c>
      <c r="H35" s="25">
        <v>2015</v>
      </c>
      <c r="I35" s="11" t="s">
        <v>124</v>
      </c>
    </row>
    <row r="36" spans="1:9" x14ac:dyDescent="0.25">
      <c r="A36" s="9" t="s">
        <v>123</v>
      </c>
      <c r="C36" s="2">
        <v>200000</v>
      </c>
      <c r="D36" s="2" t="s">
        <v>25</v>
      </c>
      <c r="E36" s="2">
        <f>E35/1.1</f>
        <v>309090909.09090906</v>
      </c>
      <c r="F36" s="2" t="s">
        <v>0</v>
      </c>
      <c r="H36" s="25">
        <v>2015</v>
      </c>
      <c r="I36" s="11" t="s">
        <v>124</v>
      </c>
    </row>
    <row r="37" spans="1:9" x14ac:dyDescent="0.25">
      <c r="A37" s="9" t="s">
        <v>127</v>
      </c>
      <c r="B37" s="2" t="s">
        <v>23</v>
      </c>
      <c r="C37" s="2">
        <f>16200</f>
        <v>16200</v>
      </c>
      <c r="D37" s="2" t="s">
        <v>25</v>
      </c>
      <c r="E37" s="2">
        <f>22*10^6*1.5106</f>
        <v>33233200</v>
      </c>
      <c r="F37" s="2" t="s">
        <v>0</v>
      </c>
      <c r="H37" s="25">
        <v>2000</v>
      </c>
      <c r="I37" s="9" t="s">
        <v>128</v>
      </c>
    </row>
    <row r="38" spans="1:9" x14ac:dyDescent="0.25">
      <c r="A38" s="9" t="s">
        <v>131</v>
      </c>
      <c r="B38" s="2" t="s">
        <v>23</v>
      </c>
      <c r="C38" s="2">
        <v>1</v>
      </c>
      <c r="D38" s="2" t="s">
        <v>4</v>
      </c>
      <c r="E38" s="2">
        <f>0.07*1.28</f>
        <v>8.9600000000000013E-2</v>
      </c>
      <c r="F38" s="2" t="s">
        <v>0</v>
      </c>
      <c r="H38" s="25">
        <v>2012</v>
      </c>
      <c r="I38" s="9" t="s">
        <v>129</v>
      </c>
    </row>
    <row r="39" spans="1:9" x14ac:dyDescent="0.25">
      <c r="A39" s="9" t="s">
        <v>133</v>
      </c>
      <c r="B39" s="2" t="s">
        <v>134</v>
      </c>
      <c r="C39" s="2">
        <f>14.4*10^6/1000</f>
        <v>14400</v>
      </c>
      <c r="D39" s="2" t="s">
        <v>52</v>
      </c>
      <c r="E39" s="2">
        <f>16483.9*1000/8.314</f>
        <v>1982667.7892711093</v>
      </c>
      <c r="F39" s="2" t="s">
        <v>0</v>
      </c>
      <c r="H39" s="25">
        <v>2004</v>
      </c>
      <c r="I39" s="9" t="s">
        <v>135</v>
      </c>
    </row>
    <row r="40" spans="1:9" x14ac:dyDescent="0.25">
      <c r="A40" s="9" t="s">
        <v>139</v>
      </c>
      <c r="C40" s="2">
        <v>12275</v>
      </c>
      <c r="D40" s="2" t="s">
        <v>52</v>
      </c>
      <c r="E40" s="2">
        <f>12000*2*1.09</f>
        <v>26160.000000000004</v>
      </c>
      <c r="F40" s="2" t="s">
        <v>0</v>
      </c>
      <c r="I40" s="9" t="s">
        <v>138</v>
      </c>
    </row>
    <row r="41" spans="1:9" x14ac:dyDescent="0.25">
      <c r="A41" s="9" t="s">
        <v>140</v>
      </c>
      <c r="C41" s="2">
        <f>24*10^6/1000*365</f>
        <v>8760000</v>
      </c>
      <c r="D41" s="2" t="s">
        <v>52</v>
      </c>
      <c r="E41" s="2">
        <f>2060*10^5/44.1</f>
        <v>4671201.8140589567</v>
      </c>
      <c r="F41" s="2" t="s">
        <v>0</v>
      </c>
      <c r="H41" s="25">
        <v>2011</v>
      </c>
      <c r="I41" s="9" t="s">
        <v>141</v>
      </c>
    </row>
    <row r="42" spans="1:9" x14ac:dyDescent="0.25">
      <c r="A42" s="9" t="s">
        <v>143</v>
      </c>
      <c r="C42" s="2">
        <f>7.5*365</f>
        <v>2737.5</v>
      </c>
      <c r="D42" s="2" t="s">
        <v>52</v>
      </c>
      <c r="E42" s="2">
        <f>11878*1.47*3</f>
        <v>52381.979999999996</v>
      </c>
      <c r="F42" s="2" t="s">
        <v>0</v>
      </c>
      <c r="H42" s="25">
        <v>2015</v>
      </c>
      <c r="I42" s="9" t="s">
        <v>142</v>
      </c>
    </row>
    <row r="86" spans="6:7" x14ac:dyDescent="0.25">
      <c r="F86" s="2"/>
      <c r="G86" s="7"/>
    </row>
    <row r="87" spans="6:7" x14ac:dyDescent="0.25">
      <c r="F87" s="2"/>
      <c r="G87" s="7"/>
    </row>
    <row r="88" spans="6:7" x14ac:dyDescent="0.25">
      <c r="F88" s="2"/>
      <c r="G88" s="7"/>
    </row>
    <row r="89" spans="6:7" x14ac:dyDescent="0.25">
      <c r="F89" s="2"/>
      <c r="G89" s="7"/>
    </row>
    <row r="90" spans="6:7" x14ac:dyDescent="0.25">
      <c r="F90" s="2"/>
      <c r="G90" s="7"/>
    </row>
    <row r="102" spans="1:7" x14ac:dyDescent="0.25">
      <c r="A102" s="1" t="s">
        <v>15</v>
      </c>
      <c r="B102" s="5" t="s">
        <v>35</v>
      </c>
      <c r="C102" s="5" t="s">
        <v>7</v>
      </c>
      <c r="D102" s="5" t="s">
        <v>21</v>
      </c>
      <c r="E102" s="5" t="s">
        <v>24</v>
      </c>
      <c r="F102" s="5" t="s">
        <v>3</v>
      </c>
      <c r="G102" s="5" t="s">
        <v>2</v>
      </c>
    </row>
    <row r="103" spans="1:7" x14ac:dyDescent="0.25">
      <c r="A103" t="s">
        <v>36</v>
      </c>
      <c r="B103" s="2">
        <f>202</f>
        <v>202</v>
      </c>
      <c r="C103" s="2" t="s">
        <v>0</v>
      </c>
      <c r="F103">
        <v>2007</v>
      </c>
      <c r="G103" s="11" t="s">
        <v>5</v>
      </c>
    </row>
    <row r="104" spans="1:7" x14ac:dyDescent="0.25">
      <c r="A104" t="s">
        <v>42</v>
      </c>
      <c r="B104" s="2">
        <f>200/2</f>
        <v>100</v>
      </c>
      <c r="C104" s="2" t="s">
        <v>0</v>
      </c>
      <c r="F104">
        <v>2007</v>
      </c>
      <c r="G104" s="11" t="s">
        <v>5</v>
      </c>
    </row>
    <row r="105" spans="1:7" x14ac:dyDescent="0.25">
      <c r="A105" t="s">
        <v>43</v>
      </c>
      <c r="B105" s="2">
        <f>200/2</f>
        <v>100</v>
      </c>
      <c r="C105" s="2" t="s">
        <v>0</v>
      </c>
      <c r="F105">
        <v>2007</v>
      </c>
      <c r="G105" s="11" t="s">
        <v>5</v>
      </c>
    </row>
    <row r="106" spans="1:7" x14ac:dyDescent="0.25">
      <c r="A106" s="9" t="s">
        <v>75</v>
      </c>
      <c r="B106" s="2">
        <f>4*300</f>
        <v>1200</v>
      </c>
      <c r="C106" s="2" t="s">
        <v>0</v>
      </c>
      <c r="F106" s="7">
        <v>2008</v>
      </c>
      <c r="G106" s="11" t="s">
        <v>70</v>
      </c>
    </row>
    <row r="107" spans="1:7" x14ac:dyDescent="0.25">
      <c r="A107" s="9" t="s">
        <v>74</v>
      </c>
      <c r="B107" s="2">
        <f>22*300</f>
        <v>6600</v>
      </c>
      <c r="C107" s="2" t="s">
        <v>0</v>
      </c>
      <c r="F107" s="7">
        <v>2008</v>
      </c>
      <c r="G107" s="11" t="s">
        <v>70</v>
      </c>
    </row>
    <row r="108" spans="1:7" x14ac:dyDescent="0.25">
      <c r="A108" s="9" t="s">
        <v>76</v>
      </c>
      <c r="B108" s="8">
        <f>0.02*D108*365</f>
        <v>3272998.8000000003</v>
      </c>
      <c r="C108" s="2" t="s">
        <v>0</v>
      </c>
      <c r="D108" s="2">
        <v>448356</v>
      </c>
      <c r="E108" s="2" t="s">
        <v>25</v>
      </c>
      <c r="F108" s="7">
        <v>2012</v>
      </c>
      <c r="G108" s="11" t="s">
        <v>79</v>
      </c>
    </row>
    <row r="109" spans="1:7" x14ac:dyDescent="0.25">
      <c r="A109" s="9" t="s">
        <v>77</v>
      </c>
      <c r="B109" s="8">
        <f>0.03*D109*365</f>
        <v>962910.15</v>
      </c>
      <c r="C109" s="2" t="s">
        <v>0</v>
      </c>
      <c r="D109" s="2">
        <v>87937</v>
      </c>
      <c r="E109" s="2" t="s">
        <v>25</v>
      </c>
      <c r="F109" s="7">
        <v>2012</v>
      </c>
      <c r="G109" s="11" t="s">
        <v>79</v>
      </c>
    </row>
    <row r="119" spans="2:8" ht="15.75" thickBot="1" x14ac:dyDescent="0.3"/>
    <row r="120" spans="2:8" x14ac:dyDescent="0.25">
      <c r="B120" s="16" t="s">
        <v>144</v>
      </c>
      <c r="C120" s="17"/>
      <c r="D120" s="18"/>
      <c r="F120" s="16" t="s">
        <v>152</v>
      </c>
      <c r="G120" s="17"/>
      <c r="H120" s="24"/>
    </row>
    <row r="121" spans="2:8" x14ac:dyDescent="0.25">
      <c r="B121" s="19"/>
      <c r="C121" s="15"/>
      <c r="D121" s="20"/>
      <c r="F121" s="19"/>
      <c r="G121" s="15"/>
      <c r="H121" s="27"/>
    </row>
    <row r="122" spans="2:8" x14ac:dyDescent="0.25">
      <c r="B122" s="21">
        <v>6.21</v>
      </c>
      <c r="C122" s="15" t="s">
        <v>145</v>
      </c>
      <c r="D122" s="22" t="s">
        <v>132</v>
      </c>
      <c r="F122" s="21">
        <v>1.07</v>
      </c>
      <c r="G122" s="15" t="s">
        <v>145</v>
      </c>
      <c r="H122" s="27" t="s">
        <v>132</v>
      </c>
    </row>
    <row r="123" spans="2:8" x14ac:dyDescent="0.25">
      <c r="B123" s="19">
        <f>B122/3.6</f>
        <v>1.7249999999999999</v>
      </c>
      <c r="C123" s="15" t="s">
        <v>150</v>
      </c>
      <c r="D123" s="20" t="s">
        <v>132</v>
      </c>
      <c r="F123" s="23">
        <f>F122/3.6</f>
        <v>0.29722222222222222</v>
      </c>
      <c r="G123" s="15" t="s">
        <v>150</v>
      </c>
      <c r="H123" s="27" t="s">
        <v>132</v>
      </c>
    </row>
    <row r="124" spans="2:8" x14ac:dyDescent="0.25">
      <c r="B124" s="19">
        <f>64/100</f>
        <v>0.64</v>
      </c>
      <c r="C124" s="15" t="s">
        <v>151</v>
      </c>
      <c r="D124" s="20"/>
      <c r="F124" s="19">
        <f>102/100</f>
        <v>1.02</v>
      </c>
      <c r="G124" s="15" t="s">
        <v>151</v>
      </c>
      <c r="H124" s="27"/>
    </row>
    <row r="125" spans="2:8" x14ac:dyDescent="0.25">
      <c r="B125" s="19">
        <f>B123*B124</f>
        <v>1.1039999999999999</v>
      </c>
      <c r="C125" s="15" t="s">
        <v>148</v>
      </c>
      <c r="D125" s="22"/>
      <c r="F125" s="23">
        <f>F123*F124</f>
        <v>0.3031666666666667</v>
      </c>
      <c r="G125" s="15" t="s">
        <v>148</v>
      </c>
      <c r="H125" s="27"/>
    </row>
    <row r="126" spans="2:8" x14ac:dyDescent="0.25">
      <c r="B126" s="19"/>
      <c r="C126" s="15"/>
      <c r="D126" s="20"/>
      <c r="F126" s="19"/>
      <c r="G126" s="15"/>
      <c r="H126" s="27"/>
    </row>
    <row r="127" spans="2:8" x14ac:dyDescent="0.25">
      <c r="B127" s="21">
        <v>0.5</v>
      </c>
      <c r="C127" s="15" t="s">
        <v>146</v>
      </c>
      <c r="D127" s="20"/>
      <c r="F127" s="21">
        <v>0.02</v>
      </c>
      <c r="G127" s="15" t="s">
        <v>146</v>
      </c>
      <c r="H127" s="27"/>
    </row>
    <row r="128" spans="2:8" x14ac:dyDescent="0.25">
      <c r="B128" s="19">
        <v>6</v>
      </c>
      <c r="C128" s="15" t="s">
        <v>147</v>
      </c>
      <c r="D128" s="20"/>
      <c r="F128" s="19">
        <v>8</v>
      </c>
      <c r="G128" s="15" t="s">
        <v>147</v>
      </c>
      <c r="H128" s="27"/>
    </row>
    <row r="129" spans="2:8" x14ac:dyDescent="0.25">
      <c r="B129" s="19"/>
      <c r="C129" s="15"/>
      <c r="D129" s="20"/>
      <c r="F129" s="19"/>
      <c r="G129" s="15"/>
      <c r="H129" s="27"/>
    </row>
    <row r="130" spans="2:8" x14ac:dyDescent="0.25">
      <c r="B130" s="19">
        <f>B128*B127+B125</f>
        <v>4.1040000000000001</v>
      </c>
      <c r="C130" s="15" t="s">
        <v>148</v>
      </c>
      <c r="D130" s="20"/>
      <c r="F130" s="23">
        <f>F128*F127+F125</f>
        <v>0.46316666666666673</v>
      </c>
      <c r="G130" s="15" t="s">
        <v>148</v>
      </c>
      <c r="H130" s="27"/>
    </row>
    <row r="131" spans="2:8" x14ac:dyDescent="0.25">
      <c r="B131" s="23">
        <f>B130/3.38</f>
        <v>1.2142011834319528</v>
      </c>
      <c r="C131" s="15" t="s">
        <v>149</v>
      </c>
      <c r="D131" s="20"/>
      <c r="F131" s="23">
        <f>F130/3.38</f>
        <v>0.13703155818540436</v>
      </c>
      <c r="G131" s="15" t="s">
        <v>149</v>
      </c>
      <c r="H131" s="27"/>
    </row>
    <row r="132" spans="2:8" ht="15.75" thickBot="1" x14ac:dyDescent="0.3">
      <c r="B132" s="3"/>
      <c r="C132" s="4"/>
      <c r="D132" s="6"/>
      <c r="F132" s="3"/>
      <c r="G132" s="4"/>
      <c r="H132" s="2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20" sqref="E20"/>
    </sheetView>
  </sheetViews>
  <sheetFormatPr defaultRowHeight="15" x14ac:dyDescent="0.25"/>
  <cols>
    <col min="1" max="1" width="43.125" bestFit="1" customWidth="1"/>
    <col min="2" max="2" width="17.5" bestFit="1" customWidth="1"/>
    <col min="3" max="3" width="14.5" bestFit="1" customWidth="1"/>
    <col min="7" max="7" width="13.5" customWidth="1"/>
  </cols>
  <sheetData>
    <row r="1" spans="1:9" x14ac:dyDescent="0.25">
      <c r="A1" s="1" t="s">
        <v>15</v>
      </c>
      <c r="B1" s="1" t="s">
        <v>57</v>
      </c>
      <c r="C1" s="5" t="s">
        <v>10</v>
      </c>
      <c r="D1" s="5" t="s">
        <v>7</v>
      </c>
      <c r="E1" s="5" t="s">
        <v>21</v>
      </c>
      <c r="F1" s="5" t="s">
        <v>24</v>
      </c>
      <c r="G1" s="5" t="s">
        <v>3</v>
      </c>
      <c r="H1" s="26" t="s">
        <v>2</v>
      </c>
      <c r="I1" s="9"/>
    </row>
    <row r="2" spans="1:9" x14ac:dyDescent="0.25">
      <c r="A2" t="s">
        <v>12</v>
      </c>
      <c r="B2" s="2" t="s">
        <v>8</v>
      </c>
      <c r="C2" s="2" t="s">
        <v>13</v>
      </c>
      <c r="D2" s="2" t="s">
        <v>0</v>
      </c>
      <c r="E2" s="2">
        <v>4</v>
      </c>
      <c r="F2" s="2" t="s">
        <v>4</v>
      </c>
      <c r="G2" s="2">
        <v>2007</v>
      </c>
      <c r="H2" s="10" t="s">
        <v>5</v>
      </c>
      <c r="I2" s="9"/>
    </row>
    <row r="3" spans="1:9" x14ac:dyDescent="0.25">
      <c r="A3" t="s">
        <v>31</v>
      </c>
      <c r="B3" s="2" t="s">
        <v>29</v>
      </c>
      <c r="C3" s="2" t="s">
        <v>13</v>
      </c>
      <c r="D3" s="2" t="s">
        <v>0</v>
      </c>
      <c r="E3" s="2">
        <v>4</v>
      </c>
      <c r="F3" s="2" t="s">
        <v>4</v>
      </c>
      <c r="G3" s="2">
        <v>2007</v>
      </c>
      <c r="H3" s="10" t="s">
        <v>5</v>
      </c>
      <c r="I3" s="9"/>
    </row>
    <row r="4" spans="1:9" x14ac:dyDescent="0.25">
      <c r="A4" t="s">
        <v>14</v>
      </c>
      <c r="B4" s="2" t="s">
        <v>58</v>
      </c>
      <c r="C4" s="2">
        <v>12</v>
      </c>
      <c r="D4" s="2" t="s">
        <v>0</v>
      </c>
      <c r="E4" s="2">
        <v>7000</v>
      </c>
      <c r="F4" s="2" t="s">
        <v>30</v>
      </c>
      <c r="G4" s="2">
        <v>2007</v>
      </c>
      <c r="H4" s="10" t="s">
        <v>5</v>
      </c>
      <c r="I4" s="9"/>
    </row>
    <row r="5" spans="1:9" x14ac:dyDescent="0.25">
      <c r="A5" t="s">
        <v>16</v>
      </c>
      <c r="B5" s="2" t="s">
        <v>59</v>
      </c>
      <c r="C5" s="2">
        <v>2</v>
      </c>
      <c r="D5" s="2" t="s">
        <v>17</v>
      </c>
      <c r="E5" s="2"/>
      <c r="F5" s="2"/>
      <c r="G5" s="2">
        <v>1997</v>
      </c>
      <c r="H5" s="10" t="s">
        <v>5</v>
      </c>
      <c r="I5" s="9"/>
    </row>
    <row r="6" spans="1:9" x14ac:dyDescent="0.25">
      <c r="A6" t="s">
        <v>16</v>
      </c>
      <c r="B6" s="2" t="s">
        <v>59</v>
      </c>
      <c r="C6" s="2">
        <v>0.5</v>
      </c>
      <c r="D6" s="2" t="s">
        <v>0</v>
      </c>
      <c r="E6" s="2"/>
      <c r="F6" s="2"/>
      <c r="G6" s="2">
        <v>2007</v>
      </c>
      <c r="H6" s="10" t="s">
        <v>5</v>
      </c>
      <c r="I6" s="9"/>
    </row>
    <row r="7" spans="1:9" x14ac:dyDescent="0.25">
      <c r="A7" s="9" t="s">
        <v>37</v>
      </c>
      <c r="B7" s="2" t="s">
        <v>60</v>
      </c>
      <c r="C7" s="2">
        <f>850</f>
        <v>850</v>
      </c>
      <c r="D7" s="2" t="s">
        <v>0</v>
      </c>
      <c r="E7" s="2"/>
      <c r="F7" s="2"/>
      <c r="G7" s="2">
        <v>2007</v>
      </c>
      <c r="H7" s="10" t="s">
        <v>5</v>
      </c>
      <c r="I7" s="9"/>
    </row>
    <row r="8" spans="1:9" x14ac:dyDescent="0.25">
      <c r="A8" s="9" t="s">
        <v>40</v>
      </c>
      <c r="B8" s="2" t="s">
        <v>61</v>
      </c>
      <c r="C8" s="2">
        <f>100/2</f>
        <v>50</v>
      </c>
      <c r="D8" s="2" t="s">
        <v>0</v>
      </c>
      <c r="E8" s="2"/>
      <c r="F8" s="2"/>
      <c r="G8" s="2">
        <v>2007</v>
      </c>
      <c r="H8" s="10" t="s">
        <v>5</v>
      </c>
      <c r="I8" s="9"/>
    </row>
    <row r="9" spans="1:9" x14ac:dyDescent="0.25">
      <c r="A9" s="9" t="s">
        <v>41</v>
      </c>
      <c r="B9" s="2" t="s">
        <v>34</v>
      </c>
      <c r="C9" s="2">
        <f>100/2</f>
        <v>50</v>
      </c>
      <c r="D9" s="2" t="s">
        <v>0</v>
      </c>
      <c r="E9" s="2"/>
      <c r="F9" s="2"/>
      <c r="G9" s="2">
        <v>2007</v>
      </c>
      <c r="H9" s="10" t="s">
        <v>5</v>
      </c>
      <c r="I9" s="9"/>
    </row>
    <row r="10" spans="1:9" x14ac:dyDescent="0.25">
      <c r="A10" s="9" t="s">
        <v>45</v>
      </c>
      <c r="B10" s="2" t="s">
        <v>58</v>
      </c>
      <c r="C10" s="2">
        <v>46</v>
      </c>
      <c r="D10" s="2" t="s">
        <v>1</v>
      </c>
      <c r="E10" s="2">
        <v>7000</v>
      </c>
      <c r="F10" s="2" t="s">
        <v>30</v>
      </c>
      <c r="G10" s="2">
        <v>2009</v>
      </c>
      <c r="H10" s="10" t="s">
        <v>44</v>
      </c>
      <c r="I10" s="9"/>
    </row>
    <row r="11" spans="1:9" x14ac:dyDescent="0.25">
      <c r="A11" s="9" t="s">
        <v>46</v>
      </c>
      <c r="B11" s="2" t="s">
        <v>58</v>
      </c>
      <c r="C11" s="2">
        <v>52</v>
      </c>
      <c r="D11" s="2" t="s">
        <v>1</v>
      </c>
      <c r="E11" s="2">
        <v>7000</v>
      </c>
      <c r="F11" s="2" t="s">
        <v>30</v>
      </c>
      <c r="G11" s="2">
        <v>2009</v>
      </c>
      <c r="H11" s="10" t="s">
        <v>44</v>
      </c>
      <c r="I11" s="9"/>
    </row>
    <row r="12" spans="1:9" x14ac:dyDescent="0.25">
      <c r="A12" s="9" t="s">
        <v>45</v>
      </c>
      <c r="B12" s="2" t="s">
        <v>58</v>
      </c>
      <c r="C12" s="2">
        <v>50</v>
      </c>
      <c r="D12" s="2" t="s">
        <v>0</v>
      </c>
      <c r="E12" s="2">
        <v>7000</v>
      </c>
      <c r="F12" s="2" t="s">
        <v>30</v>
      </c>
      <c r="G12" s="2">
        <v>2009</v>
      </c>
      <c r="H12" s="10" t="s">
        <v>44</v>
      </c>
      <c r="I12" s="9"/>
    </row>
    <row r="13" spans="1:9" x14ac:dyDescent="0.25">
      <c r="A13" s="9" t="s">
        <v>47</v>
      </c>
      <c r="B13" s="2" t="s">
        <v>58</v>
      </c>
      <c r="C13" s="2">
        <v>57</v>
      </c>
      <c r="D13" s="2" t="s">
        <v>0</v>
      </c>
      <c r="E13" s="2">
        <v>7000</v>
      </c>
      <c r="F13" s="2" t="s">
        <v>30</v>
      </c>
      <c r="G13" s="2">
        <v>2009</v>
      </c>
      <c r="H13" s="10" t="s">
        <v>44</v>
      </c>
      <c r="I13" s="9"/>
    </row>
    <row r="14" spans="1:9" x14ac:dyDescent="0.25">
      <c r="A14" s="9" t="s">
        <v>48</v>
      </c>
      <c r="B14" s="2" t="s">
        <v>59</v>
      </c>
      <c r="C14" s="2">
        <v>10</v>
      </c>
      <c r="D14" s="2" t="s">
        <v>1</v>
      </c>
      <c r="E14" s="2"/>
      <c r="F14" s="2"/>
      <c r="G14" s="2">
        <v>2009</v>
      </c>
      <c r="H14" s="10" t="s">
        <v>44</v>
      </c>
      <c r="I14" s="9"/>
    </row>
    <row r="15" spans="1:9" x14ac:dyDescent="0.25">
      <c r="A15" s="9" t="s">
        <v>49</v>
      </c>
      <c r="B15" s="2" t="s">
        <v>58</v>
      </c>
      <c r="C15" s="2">
        <v>12</v>
      </c>
      <c r="D15" s="2" t="s">
        <v>1</v>
      </c>
      <c r="E15" s="2"/>
      <c r="F15" s="2"/>
      <c r="G15" s="2">
        <v>2009</v>
      </c>
      <c r="H15" s="10" t="s">
        <v>44</v>
      </c>
      <c r="I15" s="9"/>
    </row>
    <row r="16" spans="1:9" x14ac:dyDescent="0.25">
      <c r="A16" s="9" t="s">
        <v>48</v>
      </c>
      <c r="B16" s="2" t="s">
        <v>59</v>
      </c>
      <c r="C16" s="2">
        <v>11</v>
      </c>
      <c r="D16" s="2" t="s">
        <v>0</v>
      </c>
      <c r="E16" s="2"/>
      <c r="F16" s="2"/>
      <c r="G16" s="2">
        <v>2009</v>
      </c>
      <c r="H16" s="10" t="s">
        <v>44</v>
      </c>
      <c r="I16" s="9"/>
    </row>
    <row r="17" spans="1:9" x14ac:dyDescent="0.25">
      <c r="A17" s="9" t="s">
        <v>49</v>
      </c>
      <c r="B17" s="2" t="s">
        <v>58</v>
      </c>
      <c r="C17" s="2">
        <v>13</v>
      </c>
      <c r="D17" s="2" t="s">
        <v>0</v>
      </c>
      <c r="E17" s="2"/>
      <c r="F17" s="2"/>
      <c r="G17" s="2">
        <v>2009</v>
      </c>
      <c r="H17" s="10" t="s">
        <v>44</v>
      </c>
      <c r="I17" s="9"/>
    </row>
    <row r="18" spans="1:9" x14ac:dyDescent="0.25">
      <c r="A18" s="9" t="s">
        <v>55</v>
      </c>
      <c r="B18" s="2" t="s">
        <v>62</v>
      </c>
      <c r="C18" s="2">
        <f>150</f>
        <v>150</v>
      </c>
      <c r="D18" s="2" t="s">
        <v>0</v>
      </c>
      <c r="E18" s="2">
        <v>200</v>
      </c>
      <c r="F18" s="2" t="s">
        <v>4</v>
      </c>
      <c r="G18">
        <v>2002</v>
      </c>
      <c r="H18" s="10" t="s">
        <v>54</v>
      </c>
      <c r="I18" s="9"/>
    </row>
    <row r="19" spans="1:9" x14ac:dyDescent="0.25">
      <c r="A19" s="9" t="s">
        <v>64</v>
      </c>
      <c r="B19" s="2" t="s">
        <v>63</v>
      </c>
      <c r="C19" s="2">
        <f>7800</f>
        <v>7800</v>
      </c>
      <c r="D19" s="2" t="s">
        <v>0</v>
      </c>
      <c r="E19" s="2">
        <v>30000</v>
      </c>
      <c r="F19" s="2" t="s">
        <v>4</v>
      </c>
      <c r="G19">
        <v>2002</v>
      </c>
      <c r="H19" s="10" t="s">
        <v>54</v>
      </c>
      <c r="I19" s="9"/>
    </row>
    <row r="20" spans="1:9" x14ac:dyDescent="0.25">
      <c r="A20" s="9" t="s">
        <v>65</v>
      </c>
      <c r="B20" s="2" t="s">
        <v>63</v>
      </c>
      <c r="C20" s="2">
        <f>31575</f>
        <v>31575</v>
      </c>
      <c r="D20" s="2" t="s">
        <v>0</v>
      </c>
      <c r="E20" s="2">
        <f>60000</f>
        <v>60000</v>
      </c>
      <c r="F20" s="2" t="s">
        <v>4</v>
      </c>
      <c r="G20">
        <v>2002</v>
      </c>
      <c r="H20" s="10" t="s">
        <v>54</v>
      </c>
      <c r="I20" s="9"/>
    </row>
    <row r="21" spans="1:9" x14ac:dyDescent="0.25">
      <c r="A21" s="9" t="s">
        <v>72</v>
      </c>
      <c r="B21" s="2" t="s">
        <v>71</v>
      </c>
      <c r="C21" s="2">
        <f>36</f>
        <v>36</v>
      </c>
      <c r="D21" s="2" t="s">
        <v>0</v>
      </c>
      <c r="E21" s="2">
        <v>2190</v>
      </c>
      <c r="F21" s="2" t="s">
        <v>4</v>
      </c>
      <c r="G21" s="7">
        <v>2008</v>
      </c>
      <c r="H21" s="10" t="s">
        <v>70</v>
      </c>
      <c r="I21" s="9"/>
    </row>
    <row r="22" spans="1:9" x14ac:dyDescent="0.25">
      <c r="A22" s="9" t="s">
        <v>73</v>
      </c>
      <c r="B22" s="2" t="s">
        <v>71</v>
      </c>
      <c r="C22" s="2">
        <f>12000</f>
        <v>12000</v>
      </c>
      <c r="D22" s="2" t="s">
        <v>0</v>
      </c>
      <c r="E22" s="2">
        <v>2190</v>
      </c>
      <c r="F22" s="2" t="s">
        <v>4</v>
      </c>
      <c r="G22" s="7">
        <v>2008</v>
      </c>
      <c r="H22" s="10" t="s">
        <v>70</v>
      </c>
      <c r="I22" s="9"/>
    </row>
    <row r="23" spans="1:9" x14ac:dyDescent="0.25">
      <c r="A23" s="9" t="s">
        <v>76</v>
      </c>
      <c r="B23" s="2" t="s">
        <v>78</v>
      </c>
      <c r="C23" s="8">
        <f>28.7*10^6</f>
        <v>28700000</v>
      </c>
      <c r="D23" s="2" t="s">
        <v>0</v>
      </c>
      <c r="E23" s="2">
        <v>448356</v>
      </c>
      <c r="F23" s="2" t="s">
        <v>25</v>
      </c>
      <c r="G23" s="7">
        <v>2012</v>
      </c>
      <c r="H23" s="10" t="s">
        <v>79</v>
      </c>
      <c r="I23" s="9"/>
    </row>
    <row r="24" spans="1:9" x14ac:dyDescent="0.25">
      <c r="A24" s="9" t="s">
        <v>77</v>
      </c>
      <c r="B24" s="2" t="s">
        <v>78</v>
      </c>
      <c r="C24" s="8">
        <f>8.7*10^6</f>
        <v>8700000</v>
      </c>
      <c r="D24" s="2" t="s">
        <v>0</v>
      </c>
      <c r="E24" s="2">
        <v>87937</v>
      </c>
      <c r="F24" s="2" t="s">
        <v>25</v>
      </c>
      <c r="G24" s="7">
        <v>2012</v>
      </c>
      <c r="H24" s="10" t="s">
        <v>79</v>
      </c>
      <c r="I24" s="9"/>
    </row>
    <row r="25" spans="1:9" x14ac:dyDescent="0.25">
      <c r="A25" s="9" t="s">
        <v>91</v>
      </c>
      <c r="B25" s="2"/>
      <c r="C25" s="2">
        <f>(95+130)/2</f>
        <v>112.5</v>
      </c>
      <c r="D25" s="2" t="s">
        <v>87</v>
      </c>
      <c r="E25" s="2">
        <v>10</v>
      </c>
      <c r="F25" s="2" t="s">
        <v>4</v>
      </c>
      <c r="G25" s="7">
        <v>2008</v>
      </c>
      <c r="H25" s="10" t="s">
        <v>90</v>
      </c>
      <c r="I25" s="9"/>
    </row>
    <row r="26" spans="1:9" x14ac:dyDescent="0.25">
      <c r="A26" s="9" t="s">
        <v>92</v>
      </c>
      <c r="B26" s="2"/>
      <c r="C26" s="2">
        <v>10</v>
      </c>
      <c r="D26" s="2" t="s">
        <v>94</v>
      </c>
      <c r="E26" s="2"/>
      <c r="F26" s="2"/>
      <c r="G26" s="7">
        <v>2008</v>
      </c>
      <c r="H26" s="10" t="s">
        <v>90</v>
      </c>
      <c r="I26" s="9"/>
    </row>
    <row r="27" spans="1:9" x14ac:dyDescent="0.25">
      <c r="A27" s="9" t="s">
        <v>93</v>
      </c>
      <c r="B27" s="2"/>
      <c r="C27" s="2">
        <v>20</v>
      </c>
      <c r="D27" s="2" t="s">
        <v>94</v>
      </c>
      <c r="E27" s="2"/>
      <c r="F27" s="2"/>
      <c r="G27" s="7">
        <v>2008</v>
      </c>
      <c r="H27" s="10" t="s">
        <v>90</v>
      </c>
      <c r="I27" s="9"/>
    </row>
    <row r="28" spans="1:9" x14ac:dyDescent="0.25">
      <c r="A28" s="9" t="s">
        <v>95</v>
      </c>
      <c r="B28" s="2"/>
      <c r="C28" s="2">
        <f>(2880+404+3240+2880+720+100)</f>
        <v>10224</v>
      </c>
      <c r="D28" s="2" t="s">
        <v>87</v>
      </c>
      <c r="E28" s="2"/>
      <c r="F28" s="2"/>
      <c r="G28" s="7">
        <v>2008</v>
      </c>
      <c r="H28" s="10" t="s">
        <v>90</v>
      </c>
      <c r="I28" s="9"/>
    </row>
    <row r="29" spans="1:9" x14ac:dyDescent="0.25">
      <c r="A29" s="9" t="s">
        <v>97</v>
      </c>
      <c r="B29" s="2" t="s">
        <v>99</v>
      </c>
      <c r="C29" s="2">
        <f>150000</f>
        <v>150000</v>
      </c>
      <c r="D29" s="2" t="s">
        <v>0</v>
      </c>
      <c r="E29" s="2">
        <f>93900</f>
        <v>93900</v>
      </c>
      <c r="F29" s="2" t="s">
        <v>52</v>
      </c>
      <c r="G29">
        <v>2013</v>
      </c>
      <c r="H29" s="10" t="s">
        <v>96</v>
      </c>
      <c r="I29" s="9"/>
    </row>
    <row r="30" spans="1:9" x14ac:dyDescent="0.25">
      <c r="A30" s="9" t="s">
        <v>97</v>
      </c>
      <c r="B30" s="2" t="s">
        <v>99</v>
      </c>
      <c r="C30" s="2">
        <f>250000</f>
        <v>250000</v>
      </c>
      <c r="D30" s="2" t="s">
        <v>0</v>
      </c>
      <c r="E30" s="2">
        <f>187800</f>
        <v>187800</v>
      </c>
      <c r="F30" s="2" t="s">
        <v>52</v>
      </c>
      <c r="G30">
        <v>2013</v>
      </c>
      <c r="H30" s="10" t="s">
        <v>96</v>
      </c>
      <c r="I30" s="9"/>
    </row>
    <row r="31" spans="1:9" x14ac:dyDescent="0.25">
      <c r="A31" s="9" t="s">
        <v>97</v>
      </c>
      <c r="B31" s="2" t="s">
        <v>99</v>
      </c>
      <c r="C31" s="2">
        <f>700000</f>
        <v>700000</v>
      </c>
      <c r="D31" s="2" t="s">
        <v>0</v>
      </c>
      <c r="E31" s="2">
        <f>438000</f>
        <v>438000</v>
      </c>
      <c r="F31" s="2" t="s">
        <v>52</v>
      </c>
      <c r="G31">
        <v>2013</v>
      </c>
      <c r="H31" s="10" t="s">
        <v>96</v>
      </c>
      <c r="I31" s="9"/>
    </row>
    <row r="32" spans="1:9" x14ac:dyDescent="0.25">
      <c r="A32" s="9" t="s">
        <v>98</v>
      </c>
      <c r="B32" s="2" t="s">
        <v>99</v>
      </c>
      <c r="C32" s="2">
        <f>730000</f>
        <v>730000</v>
      </c>
      <c r="D32" s="2" t="s">
        <v>0</v>
      </c>
      <c r="E32" s="2">
        <f>438000</f>
        <v>438000</v>
      </c>
      <c r="F32" s="2" t="s">
        <v>52</v>
      </c>
      <c r="G32">
        <v>2013</v>
      </c>
      <c r="H32" s="10" t="s">
        <v>96</v>
      </c>
      <c r="I32" s="9"/>
    </row>
    <row r="33" spans="1:9" x14ac:dyDescent="0.25">
      <c r="A33" s="9" t="s">
        <v>104</v>
      </c>
      <c r="B33" s="2" t="s">
        <v>106</v>
      </c>
      <c r="C33" s="2">
        <f>433395-420000</f>
        <v>13395</v>
      </c>
      <c r="D33" s="2" t="s">
        <v>107</v>
      </c>
      <c r="E33" s="2">
        <f>840*365</f>
        <v>306600</v>
      </c>
      <c r="F33" s="2" t="s">
        <v>52</v>
      </c>
      <c r="G33" s="7">
        <v>2011</v>
      </c>
      <c r="H33" s="10" t="s">
        <v>105</v>
      </c>
      <c r="I33" s="9"/>
    </row>
    <row r="34" spans="1:9" x14ac:dyDescent="0.25">
      <c r="A34" s="9" t="s">
        <v>104</v>
      </c>
      <c r="B34" s="2" t="s">
        <v>106</v>
      </c>
      <c r="C34" s="2">
        <f>C33*1.39</f>
        <v>18619.05</v>
      </c>
      <c r="D34" s="2" t="s">
        <v>0</v>
      </c>
      <c r="E34" s="2">
        <f>840*365</f>
        <v>306600</v>
      </c>
      <c r="F34" s="2" t="s">
        <v>52</v>
      </c>
      <c r="G34" s="7">
        <v>2011</v>
      </c>
      <c r="H34" s="10" t="s">
        <v>105</v>
      </c>
      <c r="I34" s="9"/>
    </row>
    <row r="35" spans="1:9" x14ac:dyDescent="0.25">
      <c r="A35" s="9" t="s">
        <v>108</v>
      </c>
      <c r="B35" s="2" t="s">
        <v>109</v>
      </c>
      <c r="C35" s="2">
        <f>3363356</f>
        <v>3363356</v>
      </c>
      <c r="D35" s="2" t="s">
        <v>87</v>
      </c>
      <c r="E35" s="13">
        <f>((34.8*10^6)*(30*10))*3.78541/1000</f>
        <v>39519680.399999999</v>
      </c>
      <c r="F35" s="2" t="s">
        <v>52</v>
      </c>
      <c r="G35" s="7">
        <v>2008</v>
      </c>
      <c r="H35" s="10" t="s">
        <v>110</v>
      </c>
      <c r="I35" s="9"/>
    </row>
    <row r="36" spans="1:9" x14ac:dyDescent="0.25">
      <c r="A36" s="9" t="s">
        <v>108</v>
      </c>
      <c r="B36" s="2" t="s">
        <v>109</v>
      </c>
      <c r="C36" s="2">
        <v>2802796</v>
      </c>
      <c r="D36" s="2" t="s">
        <v>0</v>
      </c>
      <c r="E36" s="13">
        <f>((34.8*10^6)*(30*10))*3.78541/1000</f>
        <v>39519680.399999999</v>
      </c>
      <c r="F36" s="2" t="s">
        <v>52</v>
      </c>
      <c r="G36" s="7">
        <v>2008</v>
      </c>
      <c r="H36" s="10" t="s">
        <v>110</v>
      </c>
      <c r="I36" s="9"/>
    </row>
    <row r="37" spans="1:9" x14ac:dyDescent="0.25">
      <c r="A37" s="9" t="s">
        <v>114</v>
      </c>
      <c r="B37" s="2" t="s">
        <v>115</v>
      </c>
      <c r="C37" s="2">
        <f>307698</f>
        <v>307698</v>
      </c>
      <c r="D37" s="2" t="s">
        <v>0</v>
      </c>
      <c r="E37" s="2">
        <v>900</v>
      </c>
      <c r="F37" s="2" t="s">
        <v>25</v>
      </c>
      <c r="G37">
        <v>2008</v>
      </c>
      <c r="H37" s="10" t="s">
        <v>112</v>
      </c>
      <c r="I37" s="9"/>
    </row>
    <row r="38" spans="1:9" x14ac:dyDescent="0.25">
      <c r="A38" s="9" t="s">
        <v>118</v>
      </c>
      <c r="B38" s="2" t="s">
        <v>99</v>
      </c>
      <c r="C38" s="2">
        <f>0.51*10^6</f>
        <v>510000</v>
      </c>
      <c r="D38" s="2" t="s">
        <v>0</v>
      </c>
      <c r="E38" s="2">
        <v>224640</v>
      </c>
      <c r="F38" s="2" t="s">
        <v>52</v>
      </c>
      <c r="G38">
        <v>2015</v>
      </c>
      <c r="H38" s="10" t="s">
        <v>119</v>
      </c>
      <c r="I38" s="9"/>
    </row>
    <row r="39" spans="1:9" x14ac:dyDescent="0.25">
      <c r="A39" s="9" t="s">
        <v>130</v>
      </c>
      <c r="B39" s="2"/>
      <c r="C39" s="2">
        <f>0.1*1.28</f>
        <v>0.128</v>
      </c>
      <c r="D39" s="2" t="s">
        <v>0</v>
      </c>
      <c r="E39" s="2">
        <v>1</v>
      </c>
      <c r="F39" s="2" t="s">
        <v>4</v>
      </c>
      <c r="G39" s="7">
        <v>2012</v>
      </c>
      <c r="H39" s="25" t="s">
        <v>129</v>
      </c>
      <c r="I39" s="9"/>
    </row>
    <row r="40" spans="1:9" x14ac:dyDescent="0.25">
      <c r="A40" s="9" t="s">
        <v>133</v>
      </c>
      <c r="B40" s="2" t="s">
        <v>134</v>
      </c>
      <c r="C40" s="2">
        <f>28906*1000/8.314</f>
        <v>3476786.1438537408</v>
      </c>
      <c r="D40" s="2" t="s">
        <v>0</v>
      </c>
      <c r="E40" s="2">
        <f>14.4*10^6/1000</f>
        <v>14400</v>
      </c>
      <c r="F40" s="2" t="s">
        <v>52</v>
      </c>
      <c r="G40">
        <v>2004</v>
      </c>
      <c r="H40" s="25" t="s">
        <v>135</v>
      </c>
      <c r="I40" s="9"/>
    </row>
    <row r="41" spans="1:9" x14ac:dyDescent="0.25">
      <c r="A41" s="9" t="s">
        <v>104</v>
      </c>
      <c r="B41" s="2"/>
      <c r="C41" s="2">
        <v>5520</v>
      </c>
      <c r="D41" s="2" t="s">
        <v>0</v>
      </c>
      <c r="E41" s="2"/>
      <c r="F41" s="2" t="s">
        <v>52</v>
      </c>
      <c r="G41" s="7"/>
      <c r="H41" s="25" t="s">
        <v>136</v>
      </c>
      <c r="I41" s="9"/>
    </row>
    <row r="42" spans="1:9" x14ac:dyDescent="0.25">
      <c r="A42" s="9" t="s">
        <v>137</v>
      </c>
      <c r="B42" s="2"/>
      <c r="C42" s="2"/>
      <c r="D42" s="2"/>
      <c r="E42" s="2"/>
      <c r="F42" s="2"/>
      <c r="G42" s="25"/>
      <c r="H4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A5" sqref="A1:XFD5"/>
    </sheetView>
  </sheetViews>
  <sheetFormatPr defaultRowHeight="15" x14ac:dyDescent="0.25"/>
  <cols>
    <col min="3" max="3" width="21.625" customWidth="1"/>
    <col min="4" max="9" width="12.125" customWidth="1"/>
  </cols>
  <sheetData>
    <row r="1" spans="2:4" x14ac:dyDescent="0.25">
      <c r="C1" t="s">
        <v>125</v>
      </c>
      <c r="D1" t="s">
        <v>126</v>
      </c>
    </row>
    <row r="2" spans="2:4" x14ac:dyDescent="0.25">
      <c r="B2">
        <v>1980</v>
      </c>
      <c r="C2">
        <v>82.4</v>
      </c>
      <c r="D2" s="12">
        <f t="shared" ref="D2:D34" si="0">$C$36/C2</f>
        <v>2.8730097087378637</v>
      </c>
    </row>
    <row r="3" spans="2:4" x14ac:dyDescent="0.25">
      <c r="B3">
        <v>1981</v>
      </c>
      <c r="C3">
        <v>90.9</v>
      </c>
      <c r="D3" s="12">
        <f t="shared" si="0"/>
        <v>2.604356435643564</v>
      </c>
    </row>
    <row r="4" spans="2:4" x14ac:dyDescent="0.25">
      <c r="B4">
        <v>1982</v>
      </c>
      <c r="C4">
        <v>96.5</v>
      </c>
      <c r="D4" s="12">
        <f t="shared" si="0"/>
        <v>2.4532227979274612</v>
      </c>
    </row>
    <row r="5" spans="2:4" x14ac:dyDescent="0.25">
      <c r="B5">
        <v>1983</v>
      </c>
      <c r="C5">
        <v>99.6</v>
      </c>
      <c r="D5" s="12">
        <f t="shared" si="0"/>
        <v>2.3768674698795182</v>
      </c>
    </row>
    <row r="6" spans="2:4" x14ac:dyDescent="0.25">
      <c r="B6">
        <v>1984</v>
      </c>
      <c r="C6">
        <v>103.9</v>
      </c>
      <c r="D6" s="12">
        <f t="shared" si="0"/>
        <v>2.2784985563041382</v>
      </c>
    </row>
    <row r="7" spans="2:4" x14ac:dyDescent="0.25">
      <c r="B7">
        <v>1985</v>
      </c>
      <c r="C7">
        <v>107.6</v>
      </c>
      <c r="D7" s="12">
        <f t="shared" si="0"/>
        <v>2.2001486988847585</v>
      </c>
    </row>
    <row r="8" spans="2:4" x14ac:dyDescent="0.25">
      <c r="B8">
        <v>1986</v>
      </c>
      <c r="C8">
        <v>109.6</v>
      </c>
      <c r="D8" s="12">
        <f t="shared" si="0"/>
        <v>2.16</v>
      </c>
    </row>
    <row r="9" spans="2:4" x14ac:dyDescent="0.25">
      <c r="B9">
        <v>1987</v>
      </c>
      <c r="C9">
        <v>113.6</v>
      </c>
      <c r="D9" s="12">
        <f t="shared" si="0"/>
        <v>2.0839436619718308</v>
      </c>
    </row>
    <row r="10" spans="2:4" x14ac:dyDescent="0.25">
      <c r="B10">
        <v>1988</v>
      </c>
      <c r="C10">
        <v>118.3</v>
      </c>
      <c r="D10" s="12">
        <f t="shared" si="0"/>
        <v>2.0011496196111582</v>
      </c>
    </row>
    <row r="11" spans="2:4" x14ac:dyDescent="0.25">
      <c r="B11">
        <v>1989</v>
      </c>
      <c r="C11">
        <v>124</v>
      </c>
      <c r="D11" s="12">
        <f t="shared" si="0"/>
        <v>1.9091612903225805</v>
      </c>
    </row>
    <row r="12" spans="2:4" x14ac:dyDescent="0.25">
      <c r="B12">
        <v>1990</v>
      </c>
      <c r="C12">
        <v>130.69999999999999</v>
      </c>
      <c r="D12" s="12">
        <f t="shared" si="0"/>
        <v>1.8112930374904361</v>
      </c>
    </row>
    <row r="13" spans="2:4" x14ac:dyDescent="0.25">
      <c r="B13">
        <v>1991</v>
      </c>
      <c r="C13">
        <v>136.19999999999999</v>
      </c>
      <c r="D13" s="12">
        <f t="shared" si="0"/>
        <v>1.7381497797356829</v>
      </c>
    </row>
    <row r="14" spans="2:4" x14ac:dyDescent="0.25">
      <c r="B14">
        <v>1992</v>
      </c>
      <c r="C14">
        <v>140.30000000000001</v>
      </c>
      <c r="D14" s="12">
        <f t="shared" si="0"/>
        <v>1.6873556664290803</v>
      </c>
    </row>
    <row r="15" spans="2:4" x14ac:dyDescent="0.25">
      <c r="B15">
        <v>1993</v>
      </c>
      <c r="C15">
        <v>144.5</v>
      </c>
      <c r="D15" s="12">
        <f t="shared" si="0"/>
        <v>1.6383114186851211</v>
      </c>
    </row>
    <row r="16" spans="2:4" x14ac:dyDescent="0.25">
      <c r="B16">
        <v>1994</v>
      </c>
      <c r="C16">
        <v>148.19999999999999</v>
      </c>
      <c r="D16" s="12">
        <f t="shared" si="0"/>
        <v>1.5974089068825912</v>
      </c>
    </row>
    <row r="17" spans="2:4" x14ac:dyDescent="0.25">
      <c r="B17">
        <v>1995</v>
      </c>
      <c r="C17">
        <v>152.4</v>
      </c>
      <c r="D17" s="12">
        <f t="shared" si="0"/>
        <v>1.5533858267716534</v>
      </c>
    </row>
    <row r="18" spans="2:4" x14ac:dyDescent="0.25">
      <c r="B18">
        <v>1996</v>
      </c>
      <c r="C18">
        <v>156.9</v>
      </c>
      <c r="D18" s="12">
        <f t="shared" si="0"/>
        <v>1.508833652007648</v>
      </c>
    </row>
    <row r="19" spans="2:4" x14ac:dyDescent="0.25">
      <c r="B19">
        <v>1997</v>
      </c>
      <c r="C19">
        <v>160.5</v>
      </c>
      <c r="D19" s="12">
        <f t="shared" si="0"/>
        <v>1.4749906542056075</v>
      </c>
    </row>
    <row r="20" spans="2:4" x14ac:dyDescent="0.25">
      <c r="B20">
        <v>1998</v>
      </c>
      <c r="C20">
        <v>163</v>
      </c>
      <c r="D20" s="12">
        <f t="shared" si="0"/>
        <v>1.4523680981595091</v>
      </c>
    </row>
    <row r="21" spans="2:4" x14ac:dyDescent="0.25">
      <c r="B21">
        <v>1999</v>
      </c>
      <c r="C21">
        <v>166.6</v>
      </c>
      <c r="D21" s="12">
        <f t="shared" si="0"/>
        <v>1.4209843937575031</v>
      </c>
    </row>
    <row r="22" spans="2:4" x14ac:dyDescent="0.25">
      <c r="B22">
        <v>2000</v>
      </c>
      <c r="C22">
        <v>172.2</v>
      </c>
      <c r="D22" s="12">
        <f t="shared" si="0"/>
        <v>1.3747735191637631</v>
      </c>
    </row>
    <row r="23" spans="2:4" x14ac:dyDescent="0.25">
      <c r="B23">
        <v>2001</v>
      </c>
      <c r="C23">
        <v>177.1</v>
      </c>
      <c r="D23" s="12">
        <f t="shared" si="0"/>
        <v>1.3367363071710898</v>
      </c>
    </row>
    <row r="24" spans="2:4" x14ac:dyDescent="0.25">
      <c r="B24">
        <v>2002</v>
      </c>
      <c r="C24">
        <v>179.9</v>
      </c>
      <c r="D24" s="12">
        <f t="shared" si="0"/>
        <v>1.3159310728182323</v>
      </c>
    </row>
    <row r="25" spans="2:4" x14ac:dyDescent="0.25">
      <c r="B25">
        <v>2003</v>
      </c>
      <c r="C25">
        <v>184</v>
      </c>
      <c r="D25" s="12">
        <f t="shared" si="0"/>
        <v>1.2866086956521738</v>
      </c>
    </row>
    <row r="26" spans="2:4" x14ac:dyDescent="0.25">
      <c r="B26">
        <v>2004</v>
      </c>
      <c r="C26">
        <v>188.9</v>
      </c>
      <c r="D26" s="12">
        <f t="shared" si="0"/>
        <v>1.2532345156167284</v>
      </c>
    </row>
    <row r="27" spans="2:4" x14ac:dyDescent="0.25">
      <c r="B27">
        <v>2005</v>
      </c>
      <c r="C27">
        <v>195.3</v>
      </c>
      <c r="D27" s="12">
        <f t="shared" si="0"/>
        <v>1.2121658986175115</v>
      </c>
    </row>
    <row r="28" spans="2:4" x14ac:dyDescent="0.25">
      <c r="B28">
        <v>2006</v>
      </c>
      <c r="C28">
        <v>201.6</v>
      </c>
      <c r="D28" s="12">
        <f t="shared" si="0"/>
        <v>1.1742857142857144</v>
      </c>
    </row>
    <row r="29" spans="2:4" x14ac:dyDescent="0.25">
      <c r="B29">
        <v>2007</v>
      </c>
      <c r="C29">
        <v>207.34200000000001</v>
      </c>
      <c r="D29" s="12">
        <f t="shared" si="0"/>
        <v>1.1417657782793644</v>
      </c>
    </row>
    <row r="30" spans="2:4" x14ac:dyDescent="0.25">
      <c r="B30">
        <v>2008</v>
      </c>
      <c r="C30">
        <v>215.303</v>
      </c>
      <c r="D30" s="12">
        <f t="shared" si="0"/>
        <v>1.0995480787541279</v>
      </c>
    </row>
    <row r="31" spans="2:4" x14ac:dyDescent="0.25">
      <c r="B31">
        <v>2009</v>
      </c>
      <c r="C31">
        <v>214.53700000000001</v>
      </c>
      <c r="D31" s="12">
        <f t="shared" si="0"/>
        <v>1.1034739928310733</v>
      </c>
    </row>
    <row r="32" spans="2:4" x14ac:dyDescent="0.25">
      <c r="B32">
        <v>2010</v>
      </c>
      <c r="C32">
        <v>218.05600000000001</v>
      </c>
      <c r="D32" s="12">
        <f t="shared" si="0"/>
        <v>1.0856660674322192</v>
      </c>
    </row>
    <row r="33" spans="2:4" x14ac:dyDescent="0.25">
      <c r="B33">
        <v>2011</v>
      </c>
      <c r="C33">
        <v>224.93899999999999</v>
      </c>
      <c r="D33" s="12">
        <f t="shared" si="0"/>
        <v>1.0524453296226977</v>
      </c>
    </row>
    <row r="34" spans="2:4" x14ac:dyDescent="0.25">
      <c r="B34">
        <v>2012</v>
      </c>
      <c r="C34">
        <v>229.59399999999999</v>
      </c>
      <c r="D34" s="12">
        <f t="shared" si="0"/>
        <v>1.0311070846799133</v>
      </c>
    </row>
    <row r="35" spans="2:4" x14ac:dyDescent="0.25">
      <c r="B35">
        <v>2013</v>
      </c>
      <c r="C35">
        <v>232.95699999999999</v>
      </c>
      <c r="D35" s="12">
        <f>$C$36/C35</f>
        <v>1.0162218778572869</v>
      </c>
    </row>
    <row r="36" spans="2:4" x14ac:dyDescent="0.25">
      <c r="B36">
        <v>2014</v>
      </c>
      <c r="C36">
        <v>236.73599999999999</v>
      </c>
      <c r="D36">
        <f>C36/C36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5"/>
  <sheetViews>
    <sheetView topLeftCell="D1" workbookViewId="0">
      <selection activeCell="F16" sqref="F16"/>
    </sheetView>
  </sheetViews>
  <sheetFormatPr defaultRowHeight="15" x14ac:dyDescent="0.25"/>
  <cols>
    <col min="5" max="5" width="73.25" bestFit="1" customWidth="1"/>
    <col min="6" max="6" width="70.125" bestFit="1" customWidth="1"/>
  </cols>
  <sheetData>
    <row r="4" spans="4:6" x14ac:dyDescent="0.25">
      <c r="E4" t="s">
        <v>153</v>
      </c>
      <c r="F4" t="s">
        <v>155</v>
      </c>
    </row>
    <row r="6" spans="4:6" x14ac:dyDescent="0.25">
      <c r="E6" t="s">
        <v>154</v>
      </c>
      <c r="F6" t="s">
        <v>154</v>
      </c>
    </row>
    <row r="7" spans="4:6" x14ac:dyDescent="0.25">
      <c r="D7">
        <v>2015</v>
      </c>
      <c r="E7">
        <v>3.73</v>
      </c>
      <c r="F7">
        <v>3.73</v>
      </c>
    </row>
    <row r="8" spans="4:6" x14ac:dyDescent="0.25">
      <c r="D8">
        <v>2014</v>
      </c>
      <c r="E8">
        <v>2.9</v>
      </c>
      <c r="F8">
        <v>3.19</v>
      </c>
    </row>
    <row r="9" spans="4:6" x14ac:dyDescent="0.25">
      <c r="D9">
        <v>2013</v>
      </c>
      <c r="E9">
        <v>2.9</v>
      </c>
      <c r="F9">
        <v>2.37</v>
      </c>
    </row>
    <row r="10" spans="4:6" x14ac:dyDescent="0.25">
      <c r="D10">
        <v>2012</v>
      </c>
      <c r="E10">
        <v>1.8</v>
      </c>
      <c r="F10">
        <v>1.9</v>
      </c>
    </row>
    <row r="11" spans="4:6" x14ac:dyDescent="0.25">
      <c r="D11">
        <v>2011</v>
      </c>
      <c r="E11">
        <v>1.51</v>
      </c>
      <c r="F11">
        <v>1.64</v>
      </c>
    </row>
    <row r="12" spans="4:6" x14ac:dyDescent="0.25">
      <c r="D12">
        <v>2010</v>
      </c>
      <c r="F12">
        <v>1.49</v>
      </c>
    </row>
    <row r="13" spans="4:6" x14ac:dyDescent="0.25">
      <c r="D13">
        <v>2009</v>
      </c>
      <c r="F13">
        <v>1.47</v>
      </c>
    </row>
    <row r="14" spans="4:6" x14ac:dyDescent="0.25">
      <c r="D14">
        <v>2008</v>
      </c>
      <c r="F14">
        <v>1.2</v>
      </c>
    </row>
    <row r="15" spans="4:6" x14ac:dyDescent="0.25">
      <c r="D15">
        <v>2007</v>
      </c>
      <c r="F15">
        <v>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Investment_Cost</vt:lpstr>
      <vt:lpstr>Operational_Cost</vt:lpstr>
      <vt:lpstr>US CPI</vt:lpstr>
      <vt:lpstr>GHC to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Rembrandt Koppelaar</dc:creator>
  <cp:lastModifiedBy>Rembrandt Koppelaar</cp:lastModifiedBy>
  <dcterms:created xsi:type="dcterms:W3CDTF">2015-11-02T18:11:55Z</dcterms:created>
  <dcterms:modified xsi:type="dcterms:W3CDTF">2016-10-03T12:34:07Z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b4d2f409-a125-4f36-865e-c4016d4b6bd6</vt:lpwstr>
  </property>
</Properties>
</file>